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USER\Desktop\,,ბიუჯეტის შესრულების წლიური ანგარიში,, (2023 წელი)\"/>
    </mc:Choice>
  </mc:AlternateContent>
  <xr:revisionPtr revIDLastSave="0" documentId="13_ncr:1_{D5DA66D5-4352-45B4-8D25-EEBCB6B02D6D}" xr6:coauthVersionLast="47" xr6:coauthVersionMax="47" xr10:uidLastSave="{00000000-0000-0000-0000-000000000000}"/>
  <bookViews>
    <workbookView xWindow="-120" yWindow="-120" windowWidth="29040" windowHeight="15840" tabRatio="902" xr2:uid="{00000000-000D-0000-FFFF-FFFF00000000}"/>
  </bookViews>
  <sheets>
    <sheet name="პროგრამა-ფაკულტ" sheetId="1" r:id="rId1"/>
    <sheet name="ეკონ.და ბიზნ.ფაკულ" sheetId="6" r:id="rId2"/>
    <sheet name="საბუნ.მეცნ.და ჯანდაც.ფაკულტ" sheetId="7" r:id="rId3"/>
    <sheet name="ჰუმანიტ. მეცნ.ფაკულ" sheetId="8" r:id="rId4"/>
    <sheet name="ზუსტ მეცნ.და განათლ. ფაკულ " sheetId="16" r:id="rId5"/>
    <sheet name="იურიდ.და სოც.მეცნ.ფაკულტ" sheetId="12" r:id="rId6"/>
    <sheet name="ტურიზმის ფაკულტეტი" sheetId="13" r:id="rId7"/>
    <sheet name="ტექნოლოგიური ფაკულტ" sheetId="11" r:id="rId8"/>
    <sheet name="პროფესიული" sheetId="15" r:id="rId9"/>
    <sheet name="ფიტოპათ " sheetId="4" r:id="rId10"/>
    <sheet name="აგრარული და მემბრ" sheetId="2" r:id="rId11"/>
    <sheet name="ნიკო ბერძ" sheetId="5" r:id="rId12"/>
    <sheet name="შიდა საუნივერს.გრანტ" sheetId="14" r:id="rId13"/>
  </sheets>
  <definedNames>
    <definedName name="_xlnm._FilterDatabase" localSheetId="12" hidden="1">'შიდა საუნივერს.გრანტ'!$A$13:$Z$123</definedName>
    <definedName name="_xlnm.Print_Area" localSheetId="10">'აგრარული და მემბრ'!$A$1:$I$21</definedName>
    <definedName name="_xlnm.Print_Area" localSheetId="1">'ეკონ.და ბიზნ.ფაკულ'!$A$1:$I$27</definedName>
    <definedName name="_xlnm.Print_Area" localSheetId="4">'ზუსტ მეცნ.და განათლ. ფაკულ '!$A$1:$I$41</definedName>
    <definedName name="_xlnm.Print_Area" localSheetId="5">'იურიდ.და სოც.მეცნ.ფაკულტ'!$A$1:$I$27</definedName>
    <definedName name="_xlnm.Print_Area" localSheetId="11">'ნიკო ბერძ'!$A$1:$I$30</definedName>
    <definedName name="_xlnm.Print_Area" localSheetId="2">'საბუნ.მეცნ.და ჯანდაც.ფაკულტ'!$A$1:$I$26</definedName>
    <definedName name="_xlnm.Print_Area" localSheetId="7">'ტექნოლოგიური ფაკულტ'!$A$1:$I$25</definedName>
    <definedName name="_xlnm.Print_Area" localSheetId="6">'ტურიზმის ფაკულტეტი'!$A$1:$I$26</definedName>
    <definedName name="_xlnm.Print_Area" localSheetId="9">'ფიტოპათ '!$A$1:$I$24</definedName>
    <definedName name="_xlnm.Print_Area" localSheetId="3">'ჰუმანიტ. მეცნ.ფაკულ'!$A$1:$I$34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4" i="8" l="1"/>
  <c r="Z19" i="7"/>
  <c r="AL22" i="7" l="1"/>
  <c r="X25" i="7"/>
  <c r="Y25" i="7"/>
  <c r="P25" i="7"/>
  <c r="Q25" i="7"/>
  <c r="H8" i="1" l="1"/>
  <c r="BG29" i="16" l="1"/>
  <c r="AH21" i="7"/>
  <c r="AA22" i="6"/>
  <c r="AE26" i="6"/>
  <c r="AD20" i="6" l="1"/>
  <c r="AF16" i="6"/>
  <c r="BQ18" i="1" l="1"/>
  <c r="BO18" i="1"/>
  <c r="BQ17" i="1"/>
  <c r="BP17" i="1"/>
  <c r="BO17" i="1"/>
  <c r="BI17" i="1"/>
  <c r="BG16" i="1"/>
  <c r="BM14" i="1"/>
  <c r="BL14" i="1"/>
  <c r="BK14" i="1"/>
  <c r="BM13" i="1"/>
  <c r="BM12" i="1"/>
  <c r="BL12" i="1"/>
  <c r="BK12" i="1"/>
  <c r="BU11" i="1"/>
  <c r="BQ11" i="1"/>
  <c r="BM10" i="1"/>
  <c r="BL10" i="1"/>
  <c r="BK10" i="1"/>
  <c r="BM9" i="1"/>
  <c r="BN9" i="1" s="1"/>
  <c r="BL9" i="1"/>
  <c r="BK9" i="1"/>
  <c r="BV9" i="1"/>
  <c r="BV10" i="1"/>
  <c r="BV12" i="1"/>
  <c r="BV13" i="1"/>
  <c r="BV14" i="1"/>
  <c r="BV15" i="1"/>
  <c r="BV16" i="1"/>
  <c r="BV17" i="1"/>
  <c r="BV18" i="1"/>
  <c r="BV19" i="1"/>
  <c r="BV8" i="1"/>
  <c r="BR9" i="1"/>
  <c r="BR10" i="1"/>
  <c r="BR12" i="1"/>
  <c r="BR13" i="1"/>
  <c r="BR14" i="1"/>
  <c r="BR15" i="1"/>
  <c r="BR16" i="1"/>
  <c r="BR19" i="1"/>
  <c r="BR8" i="1"/>
  <c r="BN18" i="1"/>
  <c r="BN19" i="1"/>
  <c r="W123" i="14"/>
  <c r="BH19" i="1" s="1"/>
  <c r="X123" i="14"/>
  <c r="BI19" i="1" s="1"/>
  <c r="V123" i="14"/>
  <c r="BG19" i="1" s="1"/>
  <c r="Y16" i="14"/>
  <c r="Y17" i="14"/>
  <c r="Y18" i="14"/>
  <c r="Y19" i="14"/>
  <c r="Y20" i="14"/>
  <c r="Y21" i="14"/>
  <c r="Y22" i="14"/>
  <c r="Y23" i="14"/>
  <c r="Y24" i="14"/>
  <c r="Y25" i="14"/>
  <c r="Y26" i="14"/>
  <c r="Y27" i="14"/>
  <c r="Y28" i="14"/>
  <c r="Y29" i="14"/>
  <c r="Y30" i="14"/>
  <c r="Y31" i="14"/>
  <c r="Y32" i="14"/>
  <c r="Y33" i="14"/>
  <c r="Y34" i="14"/>
  <c r="Y35" i="14"/>
  <c r="Y36" i="14"/>
  <c r="Y37" i="14"/>
  <c r="Y38" i="14"/>
  <c r="Y39" i="14"/>
  <c r="Y40" i="14"/>
  <c r="Y41" i="14"/>
  <c r="Y42" i="14"/>
  <c r="Y43" i="14"/>
  <c r="Y44" i="14"/>
  <c r="Y45" i="14"/>
  <c r="Y46" i="14"/>
  <c r="Y47" i="14"/>
  <c r="Y48" i="14"/>
  <c r="Y49" i="14"/>
  <c r="Y50" i="14"/>
  <c r="Y51" i="14"/>
  <c r="Y52" i="14"/>
  <c r="Y53" i="14"/>
  <c r="Y54" i="14"/>
  <c r="Y55" i="14"/>
  <c r="Y56" i="14"/>
  <c r="Y57" i="14"/>
  <c r="Y58" i="14"/>
  <c r="Y59" i="14"/>
  <c r="Y60" i="14"/>
  <c r="Y61" i="14"/>
  <c r="Y62" i="14"/>
  <c r="Y63" i="14"/>
  <c r="Y64" i="14"/>
  <c r="Y65" i="14"/>
  <c r="Y66" i="14"/>
  <c r="Y67" i="14"/>
  <c r="Y68" i="14"/>
  <c r="Y69" i="14"/>
  <c r="Y70" i="14"/>
  <c r="Y71" i="14"/>
  <c r="Y72" i="14"/>
  <c r="Y73" i="14"/>
  <c r="Y74" i="14"/>
  <c r="Y75" i="14"/>
  <c r="Y76" i="14"/>
  <c r="Y77" i="14"/>
  <c r="Y78" i="14"/>
  <c r="Y79" i="14"/>
  <c r="Y80" i="14"/>
  <c r="Y81" i="14"/>
  <c r="Y82" i="14"/>
  <c r="Y83" i="14"/>
  <c r="Y84" i="14"/>
  <c r="Y85" i="14"/>
  <c r="Y86" i="14"/>
  <c r="Y87" i="14"/>
  <c r="Y88" i="14"/>
  <c r="Y89" i="14"/>
  <c r="Y90" i="14"/>
  <c r="Y91" i="14"/>
  <c r="Y92" i="14"/>
  <c r="Y93" i="14"/>
  <c r="Y94" i="14"/>
  <c r="Y95" i="14"/>
  <c r="Y96" i="14"/>
  <c r="Y97" i="14"/>
  <c r="Y98" i="14"/>
  <c r="Y99" i="14"/>
  <c r="Y100" i="14"/>
  <c r="Y101" i="14"/>
  <c r="Y102" i="14"/>
  <c r="Y103" i="14"/>
  <c r="Y104" i="14"/>
  <c r="Y105" i="14"/>
  <c r="Y106" i="14"/>
  <c r="Y107" i="14"/>
  <c r="Y108" i="14"/>
  <c r="Y109" i="14"/>
  <c r="Y110" i="14"/>
  <c r="Y111" i="14"/>
  <c r="Y112" i="14"/>
  <c r="Y113" i="14"/>
  <c r="Y114" i="14"/>
  <c r="Y115" i="14"/>
  <c r="Y116" i="14"/>
  <c r="Y117" i="14"/>
  <c r="Y118" i="14"/>
  <c r="Y119" i="14"/>
  <c r="Y120" i="14"/>
  <c r="Y121" i="14"/>
  <c r="Y122" i="14"/>
  <c r="Y15" i="14"/>
  <c r="D93" i="14"/>
  <c r="D65" i="14"/>
  <c r="D54" i="14"/>
  <c r="D21" i="14"/>
  <c r="D23" i="14"/>
  <c r="D25" i="14"/>
  <c r="AM30" i="5"/>
  <c r="BK17" i="1" s="1"/>
  <c r="AN30" i="5"/>
  <c r="AO30" i="5"/>
  <c r="BH17" i="1" s="1"/>
  <c r="AP30" i="5"/>
  <c r="BL17" i="1" s="1"/>
  <c r="AQ30" i="5"/>
  <c r="AR30" i="5"/>
  <c r="AS30" i="5"/>
  <c r="BM17" i="1" s="1"/>
  <c r="AT30" i="5"/>
  <c r="AL30" i="5"/>
  <c r="BG17" i="1" s="1"/>
  <c r="AU17" i="5"/>
  <c r="AV17" i="5"/>
  <c r="AW17" i="5"/>
  <c r="AU18" i="5"/>
  <c r="AV18" i="5"/>
  <c r="AW18" i="5"/>
  <c r="AU19" i="5"/>
  <c r="AV19" i="5"/>
  <c r="AW19" i="5"/>
  <c r="AU20" i="5"/>
  <c r="AV20" i="5"/>
  <c r="AW20" i="5"/>
  <c r="AU21" i="5"/>
  <c r="AV21" i="5"/>
  <c r="AW21" i="5"/>
  <c r="AU22" i="5"/>
  <c r="AV22" i="5"/>
  <c r="AW22" i="5"/>
  <c r="AU23" i="5"/>
  <c r="AV23" i="5"/>
  <c r="AW23" i="5"/>
  <c r="AU24" i="5"/>
  <c r="AV24" i="5"/>
  <c r="AW24" i="5"/>
  <c r="AU25" i="5"/>
  <c r="AV25" i="5"/>
  <c r="AW25" i="5"/>
  <c r="AU26" i="5"/>
  <c r="AV26" i="5"/>
  <c r="AW26" i="5"/>
  <c r="AU27" i="5"/>
  <c r="AV27" i="5"/>
  <c r="AW27" i="5"/>
  <c r="AU28" i="5"/>
  <c r="AV28" i="5"/>
  <c r="AW28" i="5"/>
  <c r="AU29" i="5"/>
  <c r="AV29" i="5"/>
  <c r="AW29" i="5"/>
  <c r="AW16" i="5"/>
  <c r="AV16" i="5"/>
  <c r="AU16" i="5"/>
  <c r="E16" i="5"/>
  <c r="E22" i="5"/>
  <c r="D20" i="5"/>
  <c r="D18" i="5"/>
  <c r="D17" i="5"/>
  <c r="D16" i="5"/>
  <c r="AJ21" i="2"/>
  <c r="BH16" i="1" s="1"/>
  <c r="AL21" i="2"/>
  <c r="BI16" i="1" s="1"/>
  <c r="AH21" i="2"/>
  <c r="AN17" i="2"/>
  <c r="AO17" i="2"/>
  <c r="AN18" i="2"/>
  <c r="AO18" i="2"/>
  <c r="AN19" i="2"/>
  <c r="AO19" i="2"/>
  <c r="AN20" i="2"/>
  <c r="AO20" i="2"/>
  <c r="AN16" i="2"/>
  <c r="D20" i="2"/>
  <c r="D19" i="2"/>
  <c r="D17" i="2"/>
  <c r="D16" i="2"/>
  <c r="AI22" i="4"/>
  <c r="BK15" i="1" s="1"/>
  <c r="AJ22" i="4"/>
  <c r="BH15" i="1" s="1"/>
  <c r="AK22" i="4"/>
  <c r="BL15" i="1" s="1"/>
  <c r="AL22" i="4"/>
  <c r="BI15" i="1" s="1"/>
  <c r="AM22" i="4"/>
  <c r="BM15" i="1" s="1"/>
  <c r="AH22" i="4"/>
  <c r="BG15" i="1" s="1"/>
  <c r="AN17" i="4"/>
  <c r="AO17" i="4"/>
  <c r="AN18" i="4"/>
  <c r="AO18" i="4"/>
  <c r="AN19" i="4"/>
  <c r="AO19" i="4"/>
  <c r="AN20" i="4"/>
  <c r="AO20" i="4"/>
  <c r="AN21" i="4"/>
  <c r="AO21" i="4"/>
  <c r="AO16" i="4"/>
  <c r="AO22" i="4" s="1"/>
  <c r="AN16" i="4"/>
  <c r="D21" i="4"/>
  <c r="D20" i="4"/>
  <c r="D19" i="4"/>
  <c r="D18" i="4"/>
  <c r="D17" i="4"/>
  <c r="D16" i="4"/>
  <c r="Y123" i="14" l="1"/>
  <c r="AW30" i="5"/>
  <c r="AV30" i="5"/>
  <c r="BN17" i="1"/>
  <c r="AU30" i="5"/>
  <c r="AN21" i="2"/>
  <c r="BN15" i="1"/>
  <c r="AN22" i="4"/>
  <c r="BJ19" i="1"/>
  <c r="BR17" i="1"/>
  <c r="BJ17" i="1"/>
  <c r="BJ16" i="1"/>
  <c r="BJ15" i="1"/>
  <c r="BN14" i="1"/>
  <c r="BN12" i="1"/>
  <c r="BU20" i="1"/>
  <c r="BQ20" i="1"/>
  <c r="BN10" i="1"/>
  <c r="F21" i="15"/>
  <c r="F19" i="15"/>
  <c r="F18" i="15"/>
  <c r="D21" i="15"/>
  <c r="D19" i="15"/>
  <c r="D18" i="15"/>
  <c r="D17" i="15"/>
  <c r="AI22" i="15"/>
  <c r="AJ22" i="15"/>
  <c r="BH18" i="1" s="1"/>
  <c r="AK22" i="15"/>
  <c r="BP18" i="1" s="1"/>
  <c r="BR18" i="1" s="1"/>
  <c r="AL22" i="15"/>
  <c r="BI18" i="1" s="1"/>
  <c r="AM22" i="15"/>
  <c r="AH22" i="15"/>
  <c r="BG18" i="1" s="1"/>
  <c r="AN18" i="15"/>
  <c r="AO18" i="15"/>
  <c r="AO22" i="15" s="1"/>
  <c r="AN19" i="15"/>
  <c r="AO19" i="15"/>
  <c r="AN20" i="15"/>
  <c r="AO20" i="15"/>
  <c r="AN21" i="15"/>
  <c r="AO21" i="15"/>
  <c r="AO17" i="15"/>
  <c r="AN17" i="15"/>
  <c r="AI25" i="11"/>
  <c r="AJ25" i="11"/>
  <c r="BH14" i="1" s="1"/>
  <c r="AK25" i="11"/>
  <c r="AL25" i="11"/>
  <c r="BI14" i="1" s="1"/>
  <c r="AM25" i="11"/>
  <c r="AO25" i="11"/>
  <c r="AH25" i="11"/>
  <c r="BG14" i="1" s="1"/>
  <c r="BJ14" i="1" s="1"/>
  <c r="AN17" i="11"/>
  <c r="AO17" i="11"/>
  <c r="AN18" i="11"/>
  <c r="AO18" i="11"/>
  <c r="AN19" i="11"/>
  <c r="AO19" i="11"/>
  <c r="AN20" i="11"/>
  <c r="AO20" i="11"/>
  <c r="AN21" i="11"/>
  <c r="AO21" i="11"/>
  <c r="AN22" i="11"/>
  <c r="AO22" i="11"/>
  <c r="AN23" i="11"/>
  <c r="AO23" i="11"/>
  <c r="AN24" i="11"/>
  <c r="AO24" i="11"/>
  <c r="AO16" i="11"/>
  <c r="AN16" i="11"/>
  <c r="D23" i="11"/>
  <c r="D22" i="11"/>
  <c r="D19" i="11"/>
  <c r="D17" i="11"/>
  <c r="D16" i="11"/>
  <c r="AM26" i="13"/>
  <c r="BK13" i="1" s="1"/>
  <c r="AN26" i="13"/>
  <c r="BH13" i="1" s="1"/>
  <c r="AO26" i="13"/>
  <c r="BL13" i="1" s="1"/>
  <c r="AP26" i="13"/>
  <c r="BI13" i="1" s="1"/>
  <c r="AQ26" i="13"/>
  <c r="AL26" i="13"/>
  <c r="BG13" i="1" s="1"/>
  <c r="AR17" i="13"/>
  <c r="AS17" i="13"/>
  <c r="AR18" i="13"/>
  <c r="AS18" i="13"/>
  <c r="AR19" i="13"/>
  <c r="AS19" i="13"/>
  <c r="AR20" i="13"/>
  <c r="AS20" i="13"/>
  <c r="AR21" i="13"/>
  <c r="AS21" i="13"/>
  <c r="AR22" i="13"/>
  <c r="AS22" i="13"/>
  <c r="AR23" i="13"/>
  <c r="AS23" i="13"/>
  <c r="AR24" i="13"/>
  <c r="AS24" i="13"/>
  <c r="AR25" i="13"/>
  <c r="AS25" i="13"/>
  <c r="AS16" i="13"/>
  <c r="AS26" i="13" s="1"/>
  <c r="AR16" i="13"/>
  <c r="D23" i="13"/>
  <c r="D22" i="13"/>
  <c r="D19" i="13"/>
  <c r="D18" i="13"/>
  <c r="D17" i="13"/>
  <c r="D16" i="13"/>
  <c r="AI27" i="12"/>
  <c r="AJ27" i="12"/>
  <c r="BH12" i="1" s="1"/>
  <c r="AK27" i="12"/>
  <c r="AL27" i="12"/>
  <c r="BI12" i="1" s="1"/>
  <c r="AM27" i="12"/>
  <c r="AH27" i="12"/>
  <c r="BG12" i="1" s="1"/>
  <c r="AN16" i="12"/>
  <c r="AO16" i="12"/>
  <c r="AN17" i="12"/>
  <c r="AO17" i="12"/>
  <c r="AN18" i="12"/>
  <c r="AO18" i="12"/>
  <c r="AN19" i="12"/>
  <c r="AO19" i="12"/>
  <c r="AN20" i="12"/>
  <c r="AO20" i="12"/>
  <c r="AN21" i="12"/>
  <c r="AO21" i="12"/>
  <c r="AN22" i="12"/>
  <c r="AO22" i="12"/>
  <c r="AN23" i="12"/>
  <c r="AO23" i="12"/>
  <c r="AN24" i="12"/>
  <c r="AO24" i="12"/>
  <c r="AN25" i="12"/>
  <c r="AO25" i="12"/>
  <c r="AO27" i="12" s="1"/>
  <c r="AN26" i="12"/>
  <c r="AO26" i="12"/>
  <c r="AO15" i="12"/>
  <c r="AN15" i="12"/>
  <c r="D22" i="12"/>
  <c r="D21" i="12"/>
  <c r="D17" i="12"/>
  <c r="D16" i="12"/>
  <c r="D15" i="12"/>
  <c r="C17" i="16"/>
  <c r="C18" i="16"/>
  <c r="C19" i="16"/>
  <c r="C20" i="16"/>
  <c r="C21" i="16"/>
  <c r="C22" i="16"/>
  <c r="C23" i="16"/>
  <c r="C24" i="16"/>
  <c r="C25" i="16"/>
  <c r="C26" i="16"/>
  <c r="C27" i="16"/>
  <c r="C28" i="16"/>
  <c r="C29" i="16"/>
  <c r="C30" i="16"/>
  <c r="C31" i="16"/>
  <c r="C32" i="16"/>
  <c r="C33" i="16"/>
  <c r="C34" i="16"/>
  <c r="C35" i="16"/>
  <c r="C36" i="16"/>
  <c r="C37" i="16"/>
  <c r="C38" i="16"/>
  <c r="C39" i="16"/>
  <c r="E40" i="16"/>
  <c r="F40" i="16"/>
  <c r="G40" i="16"/>
  <c r="D40" i="16"/>
  <c r="E34" i="16"/>
  <c r="E30" i="16"/>
  <c r="E29" i="16"/>
  <c r="D25" i="16"/>
  <c r="D24" i="16"/>
  <c r="D23" i="16"/>
  <c r="D22" i="16"/>
  <c r="D19" i="16"/>
  <c r="D18" i="16"/>
  <c r="D17" i="16"/>
  <c r="D16" i="16"/>
  <c r="AY40" i="16"/>
  <c r="BK11" i="1" s="1"/>
  <c r="AZ40" i="16"/>
  <c r="BO11" i="1" s="1"/>
  <c r="BO20" i="1" s="1"/>
  <c r="BA40" i="16"/>
  <c r="BS11" i="1" s="1"/>
  <c r="BS20" i="1" s="1"/>
  <c r="BB40" i="16"/>
  <c r="BH11" i="1" s="1"/>
  <c r="BC40" i="16"/>
  <c r="BL11" i="1" s="1"/>
  <c r="BD40" i="16"/>
  <c r="BP11" i="1" s="1"/>
  <c r="BE40" i="16"/>
  <c r="BT11" i="1" s="1"/>
  <c r="BT20" i="1" s="1"/>
  <c r="BF40" i="16"/>
  <c r="BI11" i="1" s="1"/>
  <c r="BG40" i="16"/>
  <c r="BM11" i="1" s="1"/>
  <c r="BH40" i="16"/>
  <c r="BI40" i="16"/>
  <c r="AX40" i="16"/>
  <c r="BG11" i="1" s="1"/>
  <c r="BJ17" i="16"/>
  <c r="BK17" i="16"/>
  <c r="BL17" i="16"/>
  <c r="BM17" i="16"/>
  <c r="BJ18" i="16"/>
  <c r="BK18" i="16"/>
  <c r="BL18" i="16"/>
  <c r="BM18" i="16"/>
  <c r="BJ19" i="16"/>
  <c r="BK19" i="16"/>
  <c r="BL19" i="16"/>
  <c r="BM19" i="16"/>
  <c r="BJ20" i="16"/>
  <c r="BK20" i="16"/>
  <c r="BL20" i="16"/>
  <c r="BM20" i="16"/>
  <c r="BJ21" i="16"/>
  <c r="BK21" i="16"/>
  <c r="BL21" i="16"/>
  <c r="BM21" i="16"/>
  <c r="BJ22" i="16"/>
  <c r="BK22" i="16"/>
  <c r="BL22" i="16"/>
  <c r="BM22" i="16"/>
  <c r="BJ23" i="16"/>
  <c r="BK23" i="16"/>
  <c r="BL23" i="16"/>
  <c r="BM23" i="16"/>
  <c r="BJ24" i="16"/>
  <c r="BK24" i="16"/>
  <c r="BL24" i="16"/>
  <c r="BM24" i="16"/>
  <c r="BJ25" i="16"/>
  <c r="BK25" i="16"/>
  <c r="BL25" i="16"/>
  <c r="BM25" i="16"/>
  <c r="BJ26" i="16"/>
  <c r="BK26" i="16"/>
  <c r="BL26" i="16"/>
  <c r="BM26" i="16"/>
  <c r="BJ27" i="16"/>
  <c r="BK27" i="16"/>
  <c r="BL27" i="16"/>
  <c r="BM27" i="16"/>
  <c r="BJ28" i="16"/>
  <c r="BK28" i="16"/>
  <c r="BL28" i="16"/>
  <c r="BM28" i="16"/>
  <c r="BJ29" i="16"/>
  <c r="BK29" i="16"/>
  <c r="BL29" i="16"/>
  <c r="BM29" i="16"/>
  <c r="BJ30" i="16"/>
  <c r="BK30" i="16"/>
  <c r="BL30" i="16"/>
  <c r="BM30" i="16"/>
  <c r="BJ31" i="16"/>
  <c r="BK31" i="16"/>
  <c r="BL31" i="16"/>
  <c r="BM31" i="16"/>
  <c r="BJ32" i="16"/>
  <c r="BK32" i="16"/>
  <c r="BL32" i="16"/>
  <c r="BM32" i="16"/>
  <c r="BJ33" i="16"/>
  <c r="BK33" i="16"/>
  <c r="BL33" i="16"/>
  <c r="BM33" i="16"/>
  <c r="BJ34" i="16"/>
  <c r="BK34" i="16"/>
  <c r="BL34" i="16"/>
  <c r="BM34" i="16"/>
  <c r="BJ35" i="16"/>
  <c r="BK35" i="16"/>
  <c r="BL35" i="16"/>
  <c r="BM35" i="16"/>
  <c r="BJ36" i="16"/>
  <c r="BK36" i="16"/>
  <c r="BL36" i="16"/>
  <c r="BM36" i="16"/>
  <c r="BJ37" i="16"/>
  <c r="BK37" i="16"/>
  <c r="BL37" i="16"/>
  <c r="BM37" i="16"/>
  <c r="BJ38" i="16"/>
  <c r="BK38" i="16"/>
  <c r="BL38" i="16"/>
  <c r="BM38" i="16"/>
  <c r="BJ39" i="16"/>
  <c r="BK39" i="16"/>
  <c r="BL39" i="16"/>
  <c r="BM39" i="16"/>
  <c r="BM16" i="16"/>
  <c r="BM40" i="16" s="1"/>
  <c r="BL16" i="16"/>
  <c r="BL40" i="16" s="1"/>
  <c r="BK16" i="16"/>
  <c r="BJ16" i="16"/>
  <c r="AI34" i="8"/>
  <c r="AJ34" i="8"/>
  <c r="BH10" i="1" s="1"/>
  <c r="AK34" i="8"/>
  <c r="AL34" i="8"/>
  <c r="BI10" i="1" s="1"/>
  <c r="AM34" i="8"/>
  <c r="AO34" i="8"/>
  <c r="AH34" i="8"/>
  <c r="BG10" i="1" s="1"/>
  <c r="AN17" i="8"/>
  <c r="AO17" i="8"/>
  <c r="AN18" i="8"/>
  <c r="AO18" i="8"/>
  <c r="AN19" i="8"/>
  <c r="AO19" i="8"/>
  <c r="AN20" i="8"/>
  <c r="AO20" i="8"/>
  <c r="AN21" i="8"/>
  <c r="AO21" i="8"/>
  <c r="AN22" i="8"/>
  <c r="AO22" i="8"/>
  <c r="AN23" i="8"/>
  <c r="AO23" i="8"/>
  <c r="AN24" i="8"/>
  <c r="AO24" i="8"/>
  <c r="AN25" i="8"/>
  <c r="AO25" i="8"/>
  <c r="AN26" i="8"/>
  <c r="AO26" i="8"/>
  <c r="AN27" i="8"/>
  <c r="AO27" i="8"/>
  <c r="AN28" i="8"/>
  <c r="AO28" i="8"/>
  <c r="AN29" i="8"/>
  <c r="AO29" i="8"/>
  <c r="AN30" i="8"/>
  <c r="AO30" i="8"/>
  <c r="AN31" i="8"/>
  <c r="AO31" i="8"/>
  <c r="AN32" i="8"/>
  <c r="AO32" i="8"/>
  <c r="AN33" i="8"/>
  <c r="AO33" i="8"/>
  <c r="AO16" i="8"/>
  <c r="AN16" i="8"/>
  <c r="E26" i="8"/>
  <c r="D24" i="8"/>
  <c r="D23" i="8"/>
  <c r="D22" i="8"/>
  <c r="D19" i="8"/>
  <c r="D17" i="8"/>
  <c r="D16" i="8"/>
  <c r="AI26" i="7"/>
  <c r="AJ26" i="7"/>
  <c r="BH9" i="1" s="1"/>
  <c r="AK26" i="7"/>
  <c r="AL26" i="7"/>
  <c r="BI9" i="1" s="1"/>
  <c r="AM26" i="7"/>
  <c r="AO26" i="7"/>
  <c r="AH26" i="7"/>
  <c r="BG9" i="1" s="1"/>
  <c r="AN17" i="7"/>
  <c r="AO17" i="7"/>
  <c r="AN18" i="7"/>
  <c r="AO18" i="7"/>
  <c r="AN19" i="7"/>
  <c r="AO19" i="7"/>
  <c r="AN20" i="7"/>
  <c r="AO20" i="7"/>
  <c r="AN21" i="7"/>
  <c r="AO21" i="7"/>
  <c r="AN22" i="7"/>
  <c r="AO22" i="7"/>
  <c r="AN23" i="7"/>
  <c r="AO23" i="7"/>
  <c r="AN24" i="7"/>
  <c r="AO24" i="7"/>
  <c r="AN25" i="7"/>
  <c r="AO25" i="7"/>
  <c r="AO16" i="7"/>
  <c r="AN16" i="7"/>
  <c r="C25" i="7"/>
  <c r="E23" i="7"/>
  <c r="D24" i="7"/>
  <c r="C24" i="7" s="1"/>
  <c r="D23" i="7"/>
  <c r="C23" i="7" s="1"/>
  <c r="D22" i="7"/>
  <c r="C22" i="7" s="1"/>
  <c r="D21" i="7"/>
  <c r="C21" i="7" s="1"/>
  <c r="D20" i="7"/>
  <c r="C20" i="7" s="1"/>
  <c r="D19" i="7"/>
  <c r="C19" i="7" s="1"/>
  <c r="D18" i="7"/>
  <c r="C18" i="7" s="1"/>
  <c r="D17" i="7"/>
  <c r="C17" i="7" s="1"/>
  <c r="D16" i="7"/>
  <c r="AA27" i="6"/>
  <c r="BK8" i="1" s="1"/>
  <c r="AB27" i="6"/>
  <c r="BH8" i="1" s="1"/>
  <c r="AC27" i="6"/>
  <c r="BL8" i="1" s="1"/>
  <c r="AD27" i="6"/>
  <c r="BI8" i="1" s="1"/>
  <c r="AE27" i="6"/>
  <c r="BM8" i="1" s="1"/>
  <c r="Z27" i="6"/>
  <c r="BG8" i="1" s="1"/>
  <c r="AG16" i="6"/>
  <c r="AG17" i="6"/>
  <c r="AG18" i="6"/>
  <c r="AG19" i="6"/>
  <c r="AG20" i="6"/>
  <c r="AG21" i="6"/>
  <c r="AG22" i="6"/>
  <c r="AG23" i="6"/>
  <c r="AG24" i="6"/>
  <c r="AG25" i="6"/>
  <c r="AG26" i="6"/>
  <c r="AF17" i="6"/>
  <c r="AF18" i="6"/>
  <c r="AF19" i="6"/>
  <c r="AF20" i="6"/>
  <c r="AF21" i="6"/>
  <c r="AF22" i="6"/>
  <c r="AF23" i="6"/>
  <c r="AF24" i="6"/>
  <c r="AF25" i="6"/>
  <c r="AF26" i="6"/>
  <c r="AG15" i="6"/>
  <c r="AF15" i="6"/>
  <c r="C18" i="6"/>
  <c r="C19" i="6"/>
  <c r="C21" i="6"/>
  <c r="C24" i="6"/>
  <c r="C25" i="6"/>
  <c r="E26" i="6"/>
  <c r="C26" i="6" s="1"/>
  <c r="E23" i="6"/>
  <c r="C23" i="6" s="1"/>
  <c r="E22" i="6"/>
  <c r="C22" i="6" s="1"/>
  <c r="D20" i="6"/>
  <c r="C20" i="6" s="1"/>
  <c r="D17" i="6"/>
  <c r="C17" i="6" s="1"/>
  <c r="D16" i="6"/>
  <c r="C16" i="6" s="1"/>
  <c r="D15" i="6"/>
  <c r="T20" i="12"/>
  <c r="R47" i="14"/>
  <c r="S17" i="14"/>
  <c r="AG22" i="5"/>
  <c r="AJ22" i="5" s="1"/>
  <c r="AG24" i="5"/>
  <c r="AJ24" i="5" s="1"/>
  <c r="AI22" i="5"/>
  <c r="AK22" i="5"/>
  <c r="AI23" i="5"/>
  <c r="AJ23" i="5"/>
  <c r="AK23" i="5"/>
  <c r="AI24" i="5"/>
  <c r="AK24" i="5"/>
  <c r="AI25" i="5"/>
  <c r="AJ25" i="5"/>
  <c r="AK25" i="5"/>
  <c r="AI26" i="5"/>
  <c r="AJ26" i="5"/>
  <c r="AK26" i="5"/>
  <c r="AI27" i="5"/>
  <c r="AJ27" i="5"/>
  <c r="AK27" i="5"/>
  <c r="AI28" i="5"/>
  <c r="AJ28" i="5"/>
  <c r="AK28" i="5"/>
  <c r="AI29" i="5"/>
  <c r="AJ29" i="5"/>
  <c r="AK29" i="5"/>
  <c r="X22" i="5"/>
  <c r="Y22" i="5"/>
  <c r="X23" i="5"/>
  <c r="Y23" i="5"/>
  <c r="X24" i="5"/>
  <c r="Y24" i="5"/>
  <c r="X25" i="5"/>
  <c r="Y25" i="5"/>
  <c r="X26" i="5"/>
  <c r="Y26" i="5"/>
  <c r="X27" i="5"/>
  <c r="Y27" i="5"/>
  <c r="X28" i="5"/>
  <c r="Y28" i="5"/>
  <c r="X29" i="5"/>
  <c r="Y29" i="5"/>
  <c r="P22" i="5"/>
  <c r="Q22" i="5"/>
  <c r="P23" i="5"/>
  <c r="Q23" i="5"/>
  <c r="P24" i="5"/>
  <c r="Q24" i="5"/>
  <c r="P25" i="5"/>
  <c r="Q25" i="5"/>
  <c r="P26" i="5"/>
  <c r="Q26" i="5"/>
  <c r="P27" i="5"/>
  <c r="Q27" i="5"/>
  <c r="P28" i="5"/>
  <c r="Q28" i="5"/>
  <c r="P29" i="5"/>
  <c r="Q29" i="5"/>
  <c r="K30" i="5"/>
  <c r="L30" i="5"/>
  <c r="M30" i="5"/>
  <c r="O30" i="5"/>
  <c r="R30" i="5"/>
  <c r="S30" i="5"/>
  <c r="T30" i="5"/>
  <c r="U30" i="5"/>
  <c r="V30" i="5"/>
  <c r="W30" i="5"/>
  <c r="Z30" i="5"/>
  <c r="AA30" i="5"/>
  <c r="AB30" i="5"/>
  <c r="AC30" i="5"/>
  <c r="AD30" i="5"/>
  <c r="AE30" i="5"/>
  <c r="AF30" i="5"/>
  <c r="AH30" i="5"/>
  <c r="J30" i="5"/>
  <c r="E30" i="5"/>
  <c r="F30" i="5"/>
  <c r="G30" i="5"/>
  <c r="D30" i="5"/>
  <c r="C22" i="5"/>
  <c r="C23" i="5"/>
  <c r="C24" i="5"/>
  <c r="C25" i="5"/>
  <c r="C26" i="5"/>
  <c r="C27" i="5"/>
  <c r="C28" i="5"/>
  <c r="C29" i="5"/>
  <c r="BP20" i="1" l="1"/>
  <c r="BJ18" i="1"/>
  <c r="AN22" i="15"/>
  <c r="AN25" i="11"/>
  <c r="BN13" i="1"/>
  <c r="AR26" i="13"/>
  <c r="BJ13" i="1"/>
  <c r="BJ12" i="1"/>
  <c r="AN27" i="12"/>
  <c r="BN11" i="1"/>
  <c r="BK40" i="16"/>
  <c r="BR11" i="1"/>
  <c r="BR20" i="1" s="1"/>
  <c r="BV11" i="1"/>
  <c r="BV20" i="1" s="1"/>
  <c r="BJ40" i="16"/>
  <c r="BJ11" i="1"/>
  <c r="BJ10" i="1"/>
  <c r="AN34" i="8"/>
  <c r="AN26" i="7"/>
  <c r="BI20" i="1"/>
  <c r="BH20" i="1"/>
  <c r="BJ9" i="1"/>
  <c r="BG20" i="1"/>
  <c r="AG27" i="6"/>
  <c r="BN8" i="1"/>
  <c r="AF27" i="6"/>
  <c r="BJ8" i="1"/>
  <c r="C30" i="5"/>
  <c r="AG17" i="5"/>
  <c r="AG16" i="5"/>
  <c r="AG30" i="5" s="1"/>
  <c r="BJ20" i="1" l="1"/>
  <c r="Z21" i="12"/>
  <c r="AU31" i="16"/>
  <c r="AU32" i="16"/>
  <c r="AI29" i="16"/>
  <c r="AU29" i="16" s="1"/>
  <c r="AM29" i="16"/>
  <c r="AM30" i="16"/>
  <c r="AU30" i="16" s="1"/>
  <c r="AC26" i="8"/>
  <c r="Z23" i="7" l="1"/>
  <c r="Z21" i="7"/>
  <c r="R27" i="6" l="1"/>
  <c r="AT17" i="16"/>
  <c r="AU17" i="16"/>
  <c r="AV17" i="16"/>
  <c r="AW17" i="16"/>
  <c r="AT18" i="16"/>
  <c r="AU18" i="16"/>
  <c r="AV18" i="16"/>
  <c r="AW18" i="16"/>
  <c r="AT19" i="16"/>
  <c r="AU19" i="16"/>
  <c r="AV19" i="16"/>
  <c r="AW19" i="16"/>
  <c r="AT20" i="16"/>
  <c r="AU20" i="16"/>
  <c r="AV20" i="16"/>
  <c r="AW20" i="16"/>
  <c r="AT21" i="16"/>
  <c r="AU21" i="16"/>
  <c r="AV21" i="16"/>
  <c r="AW21" i="16"/>
  <c r="AT22" i="16"/>
  <c r="AU22" i="16"/>
  <c r="AV22" i="16"/>
  <c r="AW22" i="16"/>
  <c r="AT23" i="16"/>
  <c r="AU23" i="16"/>
  <c r="AV23" i="16"/>
  <c r="AW23" i="16"/>
  <c r="AT24" i="16"/>
  <c r="AU24" i="16"/>
  <c r="AV24" i="16"/>
  <c r="AW24" i="16"/>
  <c r="AT25" i="16"/>
  <c r="AU25" i="16"/>
  <c r="AV25" i="16"/>
  <c r="AW25" i="16"/>
  <c r="AT26" i="16"/>
  <c r="AU26" i="16"/>
  <c r="AV26" i="16"/>
  <c r="AW26" i="16"/>
  <c r="AT27" i="16"/>
  <c r="AU27" i="16"/>
  <c r="AV27" i="16"/>
  <c r="AW27" i="16"/>
  <c r="AT28" i="16"/>
  <c r="AU28" i="16"/>
  <c r="AV28" i="16"/>
  <c r="AW28" i="16"/>
  <c r="AT29" i="16"/>
  <c r="AV29" i="16"/>
  <c r="AW29" i="16"/>
  <c r="AT30" i="16"/>
  <c r="AV30" i="16"/>
  <c r="AW30" i="16"/>
  <c r="AT31" i="16"/>
  <c r="AV31" i="16"/>
  <c r="AW31" i="16"/>
  <c r="AT32" i="16"/>
  <c r="AV32" i="16"/>
  <c r="AW32" i="16"/>
  <c r="AT33" i="16"/>
  <c r="AU33" i="16"/>
  <c r="AV33" i="16"/>
  <c r="AW33" i="16"/>
  <c r="AT34" i="16"/>
  <c r="AU34" i="16"/>
  <c r="AV34" i="16"/>
  <c r="AW34" i="16"/>
  <c r="AT35" i="16"/>
  <c r="AU35" i="16"/>
  <c r="AV35" i="16"/>
  <c r="AW35" i="16"/>
  <c r="AT36" i="16"/>
  <c r="AU36" i="16"/>
  <c r="AV36" i="16"/>
  <c r="AW36" i="16"/>
  <c r="AT37" i="16"/>
  <c r="AU37" i="16"/>
  <c r="AV37" i="16"/>
  <c r="AW37" i="16"/>
  <c r="AT38" i="16"/>
  <c r="AU38" i="16"/>
  <c r="AV38" i="16"/>
  <c r="AW38" i="16"/>
  <c r="AT39" i="16"/>
  <c r="AU39" i="16"/>
  <c r="AV39" i="16"/>
  <c r="AW39" i="16"/>
  <c r="AI40" i="16"/>
  <c r="AJ40" i="16"/>
  <c r="AK40" i="16"/>
  <c r="AL40" i="16"/>
  <c r="AM40" i="16"/>
  <c r="AN40" i="16"/>
  <c r="AO40" i="16"/>
  <c r="AP40" i="16"/>
  <c r="AQ40" i="16"/>
  <c r="AR40" i="16"/>
  <c r="AS40" i="16"/>
  <c r="AH40" i="16"/>
  <c r="G28" i="16"/>
  <c r="F26" i="16"/>
  <c r="AF17" i="7"/>
  <c r="AG17" i="7"/>
  <c r="AF18" i="7"/>
  <c r="AG18" i="7"/>
  <c r="AF19" i="7"/>
  <c r="AG19" i="7"/>
  <c r="AF20" i="7"/>
  <c r="AG20" i="7"/>
  <c r="AF21" i="7"/>
  <c r="AG21" i="7"/>
  <c r="AF22" i="7"/>
  <c r="AG22" i="7"/>
  <c r="AF23" i="7"/>
  <c r="AG23" i="7"/>
  <c r="AF24" i="7"/>
  <c r="AG24" i="7"/>
  <c r="AF25" i="7"/>
  <c r="AG25" i="7"/>
  <c r="AA26" i="7"/>
  <c r="AB26" i="7"/>
  <c r="AC26" i="7"/>
  <c r="AD26" i="7"/>
  <c r="AE26" i="7"/>
  <c r="Z26" i="7"/>
  <c r="D26" i="7"/>
  <c r="F26" i="7"/>
  <c r="G26" i="7"/>
  <c r="E26" i="7"/>
  <c r="Y16" i="6"/>
  <c r="Y17" i="6"/>
  <c r="Y18" i="6"/>
  <c r="Y19" i="6"/>
  <c r="Y20" i="6"/>
  <c r="Y21" i="6"/>
  <c r="Y22" i="6"/>
  <c r="Y23" i="6"/>
  <c r="Y24" i="6"/>
  <c r="Y25" i="6"/>
  <c r="Y26" i="6"/>
  <c r="X16" i="6"/>
  <c r="X17" i="6"/>
  <c r="X18" i="6"/>
  <c r="X19" i="6"/>
  <c r="X20" i="6"/>
  <c r="X21" i="6"/>
  <c r="X22" i="6"/>
  <c r="X23" i="6"/>
  <c r="X24" i="6"/>
  <c r="X25" i="6"/>
  <c r="X26" i="6"/>
  <c r="S27" i="6"/>
  <c r="T27" i="6"/>
  <c r="U27" i="6"/>
  <c r="V27" i="6"/>
  <c r="W27" i="6"/>
  <c r="C26" i="7" l="1"/>
  <c r="E27" i="6"/>
  <c r="F27" i="6"/>
  <c r="G27" i="6"/>
  <c r="D27" i="6"/>
  <c r="C27" i="6" l="1"/>
  <c r="AQ8" i="1"/>
  <c r="S123" i="14" l="1"/>
  <c r="AR19" i="1" s="1"/>
  <c r="T123" i="14"/>
  <c r="AS19" i="1" s="1"/>
  <c r="R123" i="14"/>
  <c r="AQ19" i="1" s="1"/>
  <c r="U16" i="14"/>
  <c r="U17" i="14"/>
  <c r="U18" i="14"/>
  <c r="U19" i="14"/>
  <c r="U20" i="14"/>
  <c r="U21" i="14"/>
  <c r="U22" i="14"/>
  <c r="U23" i="14"/>
  <c r="U24" i="14"/>
  <c r="U25" i="14"/>
  <c r="U26" i="14"/>
  <c r="U27" i="14"/>
  <c r="U28" i="14"/>
  <c r="U29" i="14"/>
  <c r="U30" i="14"/>
  <c r="U31" i="14"/>
  <c r="U32" i="14"/>
  <c r="U33" i="14"/>
  <c r="U34" i="14"/>
  <c r="U35" i="14"/>
  <c r="U36" i="14"/>
  <c r="U37" i="14"/>
  <c r="U38" i="14"/>
  <c r="U39" i="14"/>
  <c r="U40" i="14"/>
  <c r="U41" i="14"/>
  <c r="U42" i="14"/>
  <c r="U43" i="14"/>
  <c r="U44" i="14"/>
  <c r="U45" i="14"/>
  <c r="U46" i="14"/>
  <c r="U47" i="14"/>
  <c r="U48" i="14"/>
  <c r="U49" i="14"/>
  <c r="U50" i="14"/>
  <c r="U51" i="14"/>
  <c r="U52" i="14"/>
  <c r="U53" i="14"/>
  <c r="U54" i="14"/>
  <c r="U55" i="14"/>
  <c r="U56" i="14"/>
  <c r="U57" i="14"/>
  <c r="U58" i="14"/>
  <c r="U59" i="14"/>
  <c r="U60" i="14"/>
  <c r="U61" i="14"/>
  <c r="U62" i="14"/>
  <c r="U63" i="14"/>
  <c r="U64" i="14"/>
  <c r="U65" i="14"/>
  <c r="U66" i="14"/>
  <c r="U67" i="14"/>
  <c r="U68" i="14"/>
  <c r="U69" i="14"/>
  <c r="U70" i="14"/>
  <c r="U71" i="14"/>
  <c r="U72" i="14"/>
  <c r="U73" i="14"/>
  <c r="U74" i="14"/>
  <c r="U75" i="14"/>
  <c r="U76" i="14"/>
  <c r="U77" i="14"/>
  <c r="U78" i="14"/>
  <c r="U79" i="14"/>
  <c r="U80" i="14"/>
  <c r="U81" i="14"/>
  <c r="U82" i="14"/>
  <c r="U83" i="14"/>
  <c r="U84" i="14"/>
  <c r="U85" i="14"/>
  <c r="U86" i="14"/>
  <c r="U87" i="14"/>
  <c r="U88" i="14"/>
  <c r="U89" i="14"/>
  <c r="U90" i="14"/>
  <c r="U91" i="14"/>
  <c r="U92" i="14"/>
  <c r="U93" i="14"/>
  <c r="U94" i="14"/>
  <c r="U95" i="14"/>
  <c r="U96" i="14"/>
  <c r="U97" i="14"/>
  <c r="U98" i="14"/>
  <c r="U99" i="14"/>
  <c r="U100" i="14"/>
  <c r="U101" i="14"/>
  <c r="U102" i="14"/>
  <c r="U103" i="14"/>
  <c r="U104" i="14"/>
  <c r="U105" i="14"/>
  <c r="U106" i="14"/>
  <c r="U107" i="14"/>
  <c r="U108" i="14"/>
  <c r="U109" i="14"/>
  <c r="U110" i="14"/>
  <c r="U111" i="14"/>
  <c r="U112" i="14"/>
  <c r="U113" i="14"/>
  <c r="U114" i="14"/>
  <c r="U115" i="14"/>
  <c r="U116" i="14"/>
  <c r="U117" i="14"/>
  <c r="U118" i="14"/>
  <c r="U119" i="14"/>
  <c r="U120" i="14"/>
  <c r="U121" i="14"/>
  <c r="U122" i="14"/>
  <c r="U15" i="14"/>
  <c r="AU17" i="1"/>
  <c r="AY17" i="1"/>
  <c r="AR17" i="1"/>
  <c r="AV17" i="1"/>
  <c r="AZ17" i="1"/>
  <c r="AS17" i="1"/>
  <c r="AW17" i="1"/>
  <c r="BA17" i="1"/>
  <c r="AQ17" i="1"/>
  <c r="AI17" i="5"/>
  <c r="AJ17" i="5"/>
  <c r="AK17" i="5"/>
  <c r="AI18" i="5"/>
  <c r="AJ18" i="5"/>
  <c r="AK18" i="5"/>
  <c r="AI19" i="5"/>
  <c r="AJ19" i="5"/>
  <c r="AK19" i="5"/>
  <c r="AI20" i="5"/>
  <c r="AJ20" i="5"/>
  <c r="AK20" i="5"/>
  <c r="AI21" i="5"/>
  <c r="AJ21" i="5"/>
  <c r="AK21" i="5"/>
  <c r="AK16" i="5"/>
  <c r="AK30" i="5" s="1"/>
  <c r="AJ16" i="5"/>
  <c r="AI16" i="5"/>
  <c r="AB21" i="2"/>
  <c r="AR16" i="1" s="1"/>
  <c r="AD21" i="2"/>
  <c r="AS16" i="1" s="1"/>
  <c r="Z21" i="2"/>
  <c r="AQ16" i="1" s="1"/>
  <c r="AF17" i="2"/>
  <c r="AG17" i="2"/>
  <c r="AF18" i="2"/>
  <c r="AG18" i="2"/>
  <c r="AF19" i="2"/>
  <c r="AG19" i="2"/>
  <c r="AF20" i="2"/>
  <c r="AG20" i="2"/>
  <c r="AF16" i="2"/>
  <c r="AA22" i="4"/>
  <c r="AU15" i="1" s="1"/>
  <c r="AB22" i="4"/>
  <c r="AR15" i="1" s="1"/>
  <c r="AC22" i="4"/>
  <c r="AV15" i="1" s="1"/>
  <c r="AD22" i="4"/>
  <c r="AS15" i="1" s="1"/>
  <c r="AE22" i="4"/>
  <c r="AW15" i="1" s="1"/>
  <c r="Z22" i="4"/>
  <c r="AQ15" i="1" s="1"/>
  <c r="AF17" i="4"/>
  <c r="AG17" i="4"/>
  <c r="AF18" i="4"/>
  <c r="AG18" i="4"/>
  <c r="AF19" i="4"/>
  <c r="AG19" i="4"/>
  <c r="AF20" i="4"/>
  <c r="AG20" i="4"/>
  <c r="AF21" i="4"/>
  <c r="AG21" i="4"/>
  <c r="AG16" i="4"/>
  <c r="AF16" i="4"/>
  <c r="AF18" i="15"/>
  <c r="AG18" i="15"/>
  <c r="AF19" i="15"/>
  <c r="AG19" i="15"/>
  <c r="AF20" i="15"/>
  <c r="AG20" i="15"/>
  <c r="AF21" i="15"/>
  <c r="AG21" i="15"/>
  <c r="AG17" i="15"/>
  <c r="AF17" i="15"/>
  <c r="AA22" i="15"/>
  <c r="AY18" i="1" s="1"/>
  <c r="AB22" i="15"/>
  <c r="AR18" i="1" s="1"/>
  <c r="AC22" i="15"/>
  <c r="AZ18" i="1" s="1"/>
  <c r="AD22" i="15"/>
  <c r="AS18" i="1" s="1"/>
  <c r="AE22" i="15"/>
  <c r="BA18" i="1" s="1"/>
  <c r="Z22" i="15"/>
  <c r="AQ18" i="1" s="1"/>
  <c r="AA25" i="11"/>
  <c r="AU14" i="1" s="1"/>
  <c r="AB25" i="11"/>
  <c r="AR14" i="1" s="1"/>
  <c r="AC25" i="11"/>
  <c r="AV14" i="1" s="1"/>
  <c r="AD25" i="11"/>
  <c r="AS14" i="1" s="1"/>
  <c r="AE25" i="11"/>
  <c r="AW14" i="1" s="1"/>
  <c r="Z25" i="11"/>
  <c r="AQ14" i="1" s="1"/>
  <c r="AF17" i="11"/>
  <c r="AG17" i="11"/>
  <c r="AF18" i="11"/>
  <c r="AG18" i="11"/>
  <c r="AF19" i="11"/>
  <c r="AG19" i="11"/>
  <c r="AF20" i="11"/>
  <c r="AG20" i="11"/>
  <c r="AF21" i="11"/>
  <c r="AG21" i="11"/>
  <c r="AF22" i="11"/>
  <c r="AG22" i="11"/>
  <c r="AF23" i="11"/>
  <c r="AG23" i="11"/>
  <c r="AF24" i="11"/>
  <c r="AG24" i="11"/>
  <c r="AG16" i="11"/>
  <c r="AF16" i="11"/>
  <c r="AJ17" i="13"/>
  <c r="AK17" i="13"/>
  <c r="AJ18" i="13"/>
  <c r="AK18" i="13"/>
  <c r="AJ19" i="13"/>
  <c r="AK19" i="13"/>
  <c r="AJ20" i="13"/>
  <c r="AK20" i="13"/>
  <c r="AJ21" i="13"/>
  <c r="AK21" i="13"/>
  <c r="AJ22" i="13"/>
  <c r="AK22" i="13"/>
  <c r="AJ23" i="13"/>
  <c r="AK23" i="13"/>
  <c r="AJ24" i="13"/>
  <c r="AK24" i="13"/>
  <c r="AJ25" i="13"/>
  <c r="AK25" i="13"/>
  <c r="AK16" i="13"/>
  <c r="AJ16" i="13"/>
  <c r="AE26" i="13"/>
  <c r="AU13" i="1" s="1"/>
  <c r="AF26" i="13"/>
  <c r="AR13" i="1" s="1"/>
  <c r="AG26" i="13"/>
  <c r="AV13" i="1" s="1"/>
  <c r="AH26" i="13"/>
  <c r="AS13" i="1" s="1"/>
  <c r="AI26" i="13"/>
  <c r="AW13" i="1" s="1"/>
  <c r="AD26" i="13"/>
  <c r="AQ13" i="1" s="1"/>
  <c r="AA27" i="12"/>
  <c r="AU12" i="1" s="1"/>
  <c r="AB27" i="12"/>
  <c r="AR12" i="1" s="1"/>
  <c r="AC27" i="12"/>
  <c r="AV12" i="1" s="1"/>
  <c r="AD27" i="12"/>
  <c r="AS12" i="1" s="1"/>
  <c r="AE27" i="12"/>
  <c r="AW12" i="1" s="1"/>
  <c r="Z27" i="12"/>
  <c r="AQ12" i="1" s="1"/>
  <c r="AF16" i="12"/>
  <c r="AG16" i="12"/>
  <c r="AF17" i="12"/>
  <c r="AG17" i="12"/>
  <c r="AF18" i="12"/>
  <c r="AG18" i="12"/>
  <c r="AF19" i="12"/>
  <c r="AG19" i="12"/>
  <c r="AF20" i="12"/>
  <c r="AG20" i="12"/>
  <c r="AF21" i="12"/>
  <c r="AG21" i="12"/>
  <c r="AF22" i="12"/>
  <c r="AG22" i="12"/>
  <c r="AF23" i="12"/>
  <c r="AG23" i="12"/>
  <c r="AF24" i="12"/>
  <c r="AG24" i="12"/>
  <c r="AF25" i="12"/>
  <c r="AG25" i="12"/>
  <c r="AF26" i="12"/>
  <c r="AG26" i="12"/>
  <c r="AG15" i="12"/>
  <c r="AF15" i="12"/>
  <c r="AW16" i="16"/>
  <c r="AW40" i="16" s="1"/>
  <c r="AV16" i="16"/>
  <c r="AV40" i="16" s="1"/>
  <c r="AU16" i="16"/>
  <c r="AU40" i="16" s="1"/>
  <c r="AT16" i="16"/>
  <c r="AT40" i="16" s="1"/>
  <c r="AU11" i="1"/>
  <c r="AY11" i="1"/>
  <c r="BC11" i="1"/>
  <c r="AR11" i="1"/>
  <c r="AV11" i="1"/>
  <c r="AZ11" i="1"/>
  <c r="BD11" i="1"/>
  <c r="AS11" i="1"/>
  <c r="AW11" i="1"/>
  <c r="BA11" i="1"/>
  <c r="BE11" i="1"/>
  <c r="AQ11" i="1"/>
  <c r="AA34" i="8"/>
  <c r="AU10" i="1" s="1"/>
  <c r="AB34" i="8"/>
  <c r="AR10" i="1" s="1"/>
  <c r="AC34" i="8"/>
  <c r="AV10" i="1" s="1"/>
  <c r="AD34" i="8"/>
  <c r="AS10" i="1" s="1"/>
  <c r="AE34" i="8"/>
  <c r="AW10" i="1" s="1"/>
  <c r="Z34" i="8"/>
  <c r="AQ10" i="1" s="1"/>
  <c r="AF17" i="8"/>
  <c r="AG17" i="8"/>
  <c r="AF18" i="8"/>
  <c r="AG18" i="8"/>
  <c r="AF19" i="8"/>
  <c r="AG19" i="8"/>
  <c r="AF20" i="8"/>
  <c r="AG20" i="8"/>
  <c r="AF21" i="8"/>
  <c r="AG21" i="8"/>
  <c r="AF22" i="8"/>
  <c r="AG22" i="8"/>
  <c r="AF23" i="8"/>
  <c r="AG23" i="8"/>
  <c r="AF24" i="8"/>
  <c r="AG24" i="8"/>
  <c r="AF25" i="8"/>
  <c r="AG25" i="8"/>
  <c r="AF26" i="8"/>
  <c r="AG26" i="8"/>
  <c r="AF27" i="8"/>
  <c r="AG27" i="8"/>
  <c r="AF28" i="8"/>
  <c r="AG28" i="8"/>
  <c r="AF29" i="8"/>
  <c r="AG29" i="8"/>
  <c r="AF30" i="8"/>
  <c r="AG30" i="8"/>
  <c r="AF31" i="8"/>
  <c r="AG31" i="8"/>
  <c r="AF32" i="8"/>
  <c r="AG32" i="8"/>
  <c r="AF33" i="8"/>
  <c r="AG33" i="8"/>
  <c r="AG16" i="8"/>
  <c r="AF16" i="8"/>
  <c r="Y15" i="6"/>
  <c r="Y27" i="6" s="1"/>
  <c r="X15" i="6"/>
  <c r="X27" i="6" s="1"/>
  <c r="AU8" i="1"/>
  <c r="AR8" i="1"/>
  <c r="AV8" i="1"/>
  <c r="AS8" i="1"/>
  <c r="AW8" i="1"/>
  <c r="AU9" i="1"/>
  <c r="AR9" i="1"/>
  <c r="AV9" i="1"/>
  <c r="AS9" i="1"/>
  <c r="AW9" i="1"/>
  <c r="AQ9" i="1"/>
  <c r="AG16" i="7"/>
  <c r="AG26" i="7" s="1"/>
  <c r="AF16" i="7"/>
  <c r="AF26" i="7" s="1"/>
  <c r="AI30" i="5" l="1"/>
  <c r="AJ30" i="5"/>
  <c r="AG22" i="4"/>
  <c r="AG22" i="15"/>
  <c r="AG25" i="11"/>
  <c r="U123" i="14"/>
  <c r="AF21" i="2"/>
  <c r="AF22" i="4"/>
  <c r="AF25" i="11"/>
  <c r="AJ26" i="13"/>
  <c r="AG27" i="12"/>
  <c r="AF27" i="12"/>
  <c r="AG34" i="8"/>
  <c r="AF34" i="8"/>
  <c r="AF22" i="15"/>
  <c r="AK26" i="13"/>
  <c r="BF9" i="1" l="1"/>
  <c r="BF10" i="1"/>
  <c r="BF11" i="1"/>
  <c r="BF12" i="1"/>
  <c r="BF13" i="1"/>
  <c r="BF14" i="1"/>
  <c r="BF15" i="1"/>
  <c r="BF16" i="1"/>
  <c r="BF17" i="1"/>
  <c r="BF18" i="1"/>
  <c r="BF19" i="1"/>
  <c r="BF8" i="1"/>
  <c r="BB9" i="1"/>
  <c r="BB10" i="1"/>
  <c r="BB11" i="1"/>
  <c r="BB12" i="1"/>
  <c r="BB13" i="1"/>
  <c r="BB14" i="1"/>
  <c r="BB15" i="1"/>
  <c r="BB16" i="1"/>
  <c r="BB17" i="1"/>
  <c r="BB18" i="1"/>
  <c r="BB19" i="1"/>
  <c r="BB8" i="1"/>
  <c r="AR20" i="1"/>
  <c r="AS20" i="1"/>
  <c r="AY20" i="1"/>
  <c r="AZ20" i="1"/>
  <c r="BA20" i="1"/>
  <c r="BC20" i="1"/>
  <c r="BD20" i="1"/>
  <c r="BE20" i="1"/>
  <c r="AQ20" i="1"/>
  <c r="AX9" i="1"/>
  <c r="AX10" i="1"/>
  <c r="AX11" i="1"/>
  <c r="AX12" i="1"/>
  <c r="AX13" i="1"/>
  <c r="AX14" i="1"/>
  <c r="AX15" i="1"/>
  <c r="AX17" i="1"/>
  <c r="AX18" i="1"/>
  <c r="AX19" i="1"/>
  <c r="AX8" i="1"/>
  <c r="AT9" i="1"/>
  <c r="AT10" i="1"/>
  <c r="AT11" i="1"/>
  <c r="AT12" i="1"/>
  <c r="AT13" i="1"/>
  <c r="AT14" i="1"/>
  <c r="AT15" i="1"/>
  <c r="AT16" i="1"/>
  <c r="AT17" i="1"/>
  <c r="AT18" i="1"/>
  <c r="AT19" i="1"/>
  <c r="AT8" i="1"/>
  <c r="O123" i="14"/>
  <c r="BF20" i="1" l="1"/>
  <c r="AT20" i="1"/>
  <c r="BB20" i="1"/>
  <c r="AM20" i="1"/>
  <c r="AN20" i="1"/>
  <c r="N47" i="14"/>
  <c r="N123" i="14" s="1"/>
  <c r="P25" i="14"/>
  <c r="P123" i="14" s="1"/>
  <c r="AG17" i="1"/>
  <c r="AF17" i="1"/>
  <c r="AE17" i="1"/>
  <c r="T19" i="2" l="1"/>
  <c r="V23" i="11" l="1"/>
  <c r="T22" i="7" l="1"/>
  <c r="V21" i="7"/>
  <c r="T21" i="7"/>
  <c r="R21" i="7"/>
  <c r="F27" i="12" l="1"/>
  <c r="G27" i="12"/>
  <c r="E24" i="12"/>
  <c r="E27" i="12" s="1"/>
  <c r="C23" i="12"/>
  <c r="C25" i="12"/>
  <c r="C26" i="12"/>
  <c r="S27" i="12"/>
  <c r="T27" i="12"/>
  <c r="AB12" i="1" s="1"/>
  <c r="U27" i="12"/>
  <c r="V27" i="12"/>
  <c r="AC12" i="1" s="1"/>
  <c r="W27" i="12"/>
  <c r="AG12" i="1" s="1"/>
  <c r="R27" i="12"/>
  <c r="AA12" i="1" s="1"/>
  <c r="K27" i="12"/>
  <c r="L27" i="12"/>
  <c r="M27" i="12"/>
  <c r="O27" i="12"/>
  <c r="J27" i="12"/>
  <c r="P23" i="12"/>
  <c r="Q23" i="12"/>
  <c r="P24" i="12"/>
  <c r="Q24" i="12"/>
  <c r="P25" i="12"/>
  <c r="Q25" i="12"/>
  <c r="P26" i="12"/>
  <c r="Q26" i="12"/>
  <c r="X16" i="12"/>
  <c r="Y16" i="12"/>
  <c r="X17" i="12"/>
  <c r="Y17" i="12"/>
  <c r="X18" i="12"/>
  <c r="Y18" i="12"/>
  <c r="X19" i="12"/>
  <c r="Y19" i="12"/>
  <c r="X20" i="12"/>
  <c r="Y20" i="12"/>
  <c r="X21" i="12"/>
  <c r="Y21" i="12"/>
  <c r="X22" i="12"/>
  <c r="Y22" i="12"/>
  <c r="X23" i="12"/>
  <c r="Y23" i="12"/>
  <c r="X24" i="12"/>
  <c r="Y24" i="12"/>
  <c r="X25" i="12"/>
  <c r="Y25" i="12"/>
  <c r="X26" i="12"/>
  <c r="Y26" i="12"/>
  <c r="AD17" i="16"/>
  <c r="AE17" i="16"/>
  <c r="AF17" i="16"/>
  <c r="AG17" i="16"/>
  <c r="AD18" i="16"/>
  <c r="AE18" i="16"/>
  <c r="AF18" i="16"/>
  <c r="AG18" i="16"/>
  <c r="AD19" i="16"/>
  <c r="AE19" i="16"/>
  <c r="AF19" i="16"/>
  <c r="AG19" i="16"/>
  <c r="AD20" i="16"/>
  <c r="AE20" i="16"/>
  <c r="AF20" i="16"/>
  <c r="AG20" i="16"/>
  <c r="AD21" i="16"/>
  <c r="AE21" i="16"/>
  <c r="AF21" i="16"/>
  <c r="AG21" i="16"/>
  <c r="AD22" i="16"/>
  <c r="AE22" i="16"/>
  <c r="AF22" i="16"/>
  <c r="AG22" i="16"/>
  <c r="AD23" i="16"/>
  <c r="AE23" i="16"/>
  <c r="AF23" i="16"/>
  <c r="AG23" i="16"/>
  <c r="AD24" i="16"/>
  <c r="AE24" i="16"/>
  <c r="AF24" i="16"/>
  <c r="AG24" i="16"/>
  <c r="AD25" i="16"/>
  <c r="AE25" i="16"/>
  <c r="AF25" i="16"/>
  <c r="AG25" i="16"/>
  <c r="AD26" i="16"/>
  <c r="AE26" i="16"/>
  <c r="AF26" i="16"/>
  <c r="AG26" i="16"/>
  <c r="AD27" i="16"/>
  <c r="AE27" i="16"/>
  <c r="AF27" i="16"/>
  <c r="AG27" i="16"/>
  <c r="AD28" i="16"/>
  <c r="AE28" i="16"/>
  <c r="AF28" i="16"/>
  <c r="AG28" i="16"/>
  <c r="AD29" i="16"/>
  <c r="AE29" i="16"/>
  <c r="AF29" i="16"/>
  <c r="AG29" i="16"/>
  <c r="AD30" i="16"/>
  <c r="AE30" i="16"/>
  <c r="AF30" i="16"/>
  <c r="AG30" i="16"/>
  <c r="AD31" i="16"/>
  <c r="AE31" i="16"/>
  <c r="AF31" i="16"/>
  <c r="AG31" i="16"/>
  <c r="AD32" i="16"/>
  <c r="AE32" i="16"/>
  <c r="AF32" i="16"/>
  <c r="AG32" i="16"/>
  <c r="AD33" i="16"/>
  <c r="AE33" i="16"/>
  <c r="AF33" i="16"/>
  <c r="AG33" i="16"/>
  <c r="S40" i="16"/>
  <c r="T40" i="16"/>
  <c r="U40" i="16"/>
  <c r="V40" i="16"/>
  <c r="AB11" i="1" s="1"/>
  <c r="W40" i="16"/>
  <c r="X40" i="16"/>
  <c r="Y40" i="16"/>
  <c r="Z40" i="16"/>
  <c r="AC11" i="1" s="1"/>
  <c r="AA40" i="16"/>
  <c r="AB40" i="16"/>
  <c r="AK11" i="1" s="1"/>
  <c r="AK20" i="1" s="1"/>
  <c r="AC40" i="16"/>
  <c r="AO11" i="1" s="1"/>
  <c r="AO20" i="1" s="1"/>
  <c r="R40" i="16"/>
  <c r="AA11" i="1" s="1"/>
  <c r="P26" i="16"/>
  <c r="Q26" i="16"/>
  <c r="P27" i="16"/>
  <c r="Q27" i="16"/>
  <c r="P28" i="16"/>
  <c r="Q28" i="16"/>
  <c r="P29" i="16"/>
  <c r="Q29" i="16"/>
  <c r="P30" i="16"/>
  <c r="Q30" i="16"/>
  <c r="P31" i="16"/>
  <c r="Q31" i="16"/>
  <c r="P32" i="16"/>
  <c r="Q32" i="16"/>
  <c r="P33" i="16"/>
  <c r="Q33" i="16"/>
  <c r="K40" i="16"/>
  <c r="L40" i="16"/>
  <c r="M40" i="16"/>
  <c r="O40" i="16"/>
  <c r="J40" i="16"/>
  <c r="F34" i="8"/>
  <c r="G34" i="8"/>
  <c r="S34" i="8"/>
  <c r="T34" i="8"/>
  <c r="AB10" i="1" s="1"/>
  <c r="U34" i="8"/>
  <c r="V34" i="8"/>
  <c r="AC10" i="1" s="1"/>
  <c r="W34" i="8"/>
  <c r="R34" i="8"/>
  <c r="AA10" i="1" s="1"/>
  <c r="X25" i="8"/>
  <c r="Y25" i="8"/>
  <c r="X26" i="8"/>
  <c r="Y26" i="8"/>
  <c r="X27" i="8"/>
  <c r="Y27" i="8"/>
  <c r="X28" i="8"/>
  <c r="Y28" i="8"/>
  <c r="X29" i="8"/>
  <c r="Y29" i="8"/>
  <c r="X30" i="8"/>
  <c r="Y30" i="8"/>
  <c r="X31" i="8"/>
  <c r="Y31" i="8"/>
  <c r="X32" i="8"/>
  <c r="Y32" i="8"/>
  <c r="X33" i="8"/>
  <c r="Y33" i="8"/>
  <c r="P25" i="8"/>
  <c r="Q25" i="8"/>
  <c r="P26" i="8"/>
  <c r="Q26" i="8"/>
  <c r="P27" i="8"/>
  <c r="Q27" i="8"/>
  <c r="P28" i="8"/>
  <c r="Q28" i="8"/>
  <c r="P29" i="8"/>
  <c r="Q29" i="8"/>
  <c r="P30" i="8"/>
  <c r="Q30" i="8"/>
  <c r="P31" i="8"/>
  <c r="Q31" i="8"/>
  <c r="P32" i="8"/>
  <c r="Q32" i="8"/>
  <c r="P33" i="8"/>
  <c r="Q33" i="8"/>
  <c r="D34" i="8"/>
  <c r="C33" i="8"/>
  <c r="C32" i="8"/>
  <c r="C31" i="8"/>
  <c r="C30" i="8"/>
  <c r="C29" i="8"/>
  <c r="C28" i="8"/>
  <c r="C27" i="8"/>
  <c r="C26" i="8"/>
  <c r="C25" i="8"/>
  <c r="D27" i="12" l="1"/>
  <c r="C27" i="12" s="1"/>
  <c r="E34" i="8"/>
  <c r="C34" i="8" s="1"/>
  <c r="C24" i="12"/>
  <c r="C16" i="7"/>
  <c r="Q16" i="14"/>
  <c r="Q17" i="14"/>
  <c r="Q18" i="14"/>
  <c r="Q19" i="14"/>
  <c r="Q21" i="14"/>
  <c r="Q22" i="14"/>
  <c r="Q23" i="14"/>
  <c r="Q24" i="14"/>
  <c r="Q25" i="14"/>
  <c r="Q26" i="14"/>
  <c r="Q28" i="14"/>
  <c r="Q29" i="14"/>
  <c r="Q30" i="14"/>
  <c r="Q31" i="14"/>
  <c r="Q32" i="14"/>
  <c r="Q34" i="14"/>
  <c r="Q35" i="14"/>
  <c r="Q36" i="14"/>
  <c r="Q37" i="14"/>
  <c r="Q38" i="14"/>
  <c r="Q39" i="14"/>
  <c r="Q41" i="14"/>
  <c r="Q42" i="14"/>
  <c r="Q43" i="14"/>
  <c r="Q44" i="14"/>
  <c r="Q46" i="14"/>
  <c r="Q47" i="14"/>
  <c r="Q48" i="14"/>
  <c r="Q49" i="14"/>
  <c r="Q50" i="14"/>
  <c r="Q52" i="14"/>
  <c r="Q53" i="14"/>
  <c r="Q54" i="14"/>
  <c r="Q55" i="14"/>
  <c r="Q56" i="14"/>
  <c r="Q57" i="14"/>
  <c r="Q58" i="14"/>
  <c r="Q59" i="14"/>
  <c r="Q61" i="14"/>
  <c r="Q62" i="14"/>
  <c r="Q63" i="14"/>
  <c r="Q64" i="14"/>
  <c r="Q65" i="14"/>
  <c r="Q66" i="14"/>
  <c r="Q68" i="14"/>
  <c r="Q69" i="14"/>
  <c r="Q70" i="14"/>
  <c r="Q71" i="14"/>
  <c r="Q72" i="14"/>
  <c r="Q73" i="14"/>
  <c r="Q75" i="14"/>
  <c r="Q76" i="14"/>
  <c r="Q77" i="14"/>
  <c r="Q78" i="14"/>
  <c r="Q79" i="14"/>
  <c r="Q81" i="14"/>
  <c r="Q82" i="14"/>
  <c r="Q83" i="14"/>
  <c r="Q84" i="14"/>
  <c r="Q85" i="14"/>
  <c r="Q86" i="14"/>
  <c r="Q88" i="14"/>
  <c r="Q89" i="14"/>
  <c r="Q90" i="14"/>
  <c r="Q92" i="14"/>
  <c r="Q93" i="14"/>
  <c r="Q94" i="14"/>
  <c r="Q95" i="14"/>
  <c r="Q96" i="14"/>
  <c r="Q98" i="14"/>
  <c r="Q99" i="14"/>
  <c r="Q100" i="14"/>
  <c r="Q101" i="14"/>
  <c r="Q103" i="14"/>
  <c r="Q104" i="14"/>
  <c r="Q105" i="14"/>
  <c r="Q106" i="14"/>
  <c r="Q107" i="14"/>
  <c r="Q109" i="14"/>
  <c r="Q110" i="14"/>
  <c r="Q111" i="14"/>
  <c r="Q112" i="14"/>
  <c r="Q113" i="14"/>
  <c r="Q114" i="14"/>
  <c r="Q116" i="14"/>
  <c r="Q117" i="14"/>
  <c r="Q118" i="14"/>
  <c r="Q119" i="14"/>
  <c r="Q120" i="14"/>
  <c r="Q121" i="14"/>
  <c r="AB17" i="1"/>
  <c r="AC17" i="1"/>
  <c r="AA17" i="1"/>
  <c r="X17" i="5"/>
  <c r="Y17" i="5"/>
  <c r="X18" i="5"/>
  <c r="Y18" i="5"/>
  <c r="X19" i="5"/>
  <c r="Y19" i="5"/>
  <c r="X20" i="5"/>
  <c r="Y20" i="5"/>
  <c r="X21" i="5"/>
  <c r="Y21" i="5"/>
  <c r="Y16" i="5"/>
  <c r="Y30" i="5" s="1"/>
  <c r="X16" i="5"/>
  <c r="S21" i="2"/>
  <c r="AE16" i="1" s="1"/>
  <c r="T21" i="2"/>
  <c r="AB16" i="1" s="1"/>
  <c r="U21" i="2"/>
  <c r="AF16" i="1" s="1"/>
  <c r="V21" i="2"/>
  <c r="AC16" i="1" s="1"/>
  <c r="W21" i="2"/>
  <c r="AG16" i="1" s="1"/>
  <c r="R21" i="2"/>
  <c r="AA16" i="1" s="1"/>
  <c r="X17" i="2"/>
  <c r="Y17" i="2"/>
  <c r="X18" i="2"/>
  <c r="Y18" i="2"/>
  <c r="X19" i="2"/>
  <c r="Y19" i="2"/>
  <c r="X20" i="2"/>
  <c r="Y20" i="2"/>
  <c r="Y16" i="2"/>
  <c r="X16" i="2"/>
  <c r="S22" i="4"/>
  <c r="AE15" i="1" s="1"/>
  <c r="T22" i="4"/>
  <c r="AB15" i="1" s="1"/>
  <c r="U22" i="4"/>
  <c r="AF15" i="1" s="1"/>
  <c r="V22" i="4"/>
  <c r="AC15" i="1" s="1"/>
  <c r="W22" i="4"/>
  <c r="AG15" i="1" s="1"/>
  <c r="R22" i="4"/>
  <c r="AA15" i="1" s="1"/>
  <c r="X17" i="4"/>
  <c r="Y17" i="4"/>
  <c r="X18" i="4"/>
  <c r="Y18" i="4"/>
  <c r="X19" i="4"/>
  <c r="Y19" i="4"/>
  <c r="X20" i="4"/>
  <c r="Y20" i="4"/>
  <c r="X21" i="4"/>
  <c r="Y21" i="4"/>
  <c r="Y16" i="4"/>
  <c r="X16" i="4"/>
  <c r="S22" i="15"/>
  <c r="AI18" i="1" s="1"/>
  <c r="AI20" i="1" s="1"/>
  <c r="T22" i="15"/>
  <c r="AB18" i="1" s="1"/>
  <c r="U22" i="15"/>
  <c r="AJ18" i="1" s="1"/>
  <c r="AJ20" i="1" s="1"/>
  <c r="V22" i="15"/>
  <c r="AC18" i="1" s="1"/>
  <c r="W22" i="15"/>
  <c r="R22" i="15"/>
  <c r="AA18" i="1" s="1"/>
  <c r="X18" i="15"/>
  <c r="Y18" i="15"/>
  <c r="X19" i="15"/>
  <c r="Y19" i="15"/>
  <c r="X20" i="15"/>
  <c r="Y20" i="15"/>
  <c r="X21" i="15"/>
  <c r="Y21" i="15"/>
  <c r="Y17" i="15"/>
  <c r="X17" i="15"/>
  <c r="S25" i="11"/>
  <c r="T25" i="11"/>
  <c r="AB14" i="1" s="1"/>
  <c r="U25" i="11"/>
  <c r="V25" i="11"/>
  <c r="AC14" i="1" s="1"/>
  <c r="W25" i="11"/>
  <c r="R25" i="11"/>
  <c r="AA14" i="1" s="1"/>
  <c r="X17" i="11"/>
  <c r="Y17" i="11"/>
  <c r="X18" i="11"/>
  <c r="Y18" i="11"/>
  <c r="X19" i="11"/>
  <c r="Y19" i="11"/>
  <c r="X20" i="11"/>
  <c r="Y20" i="11"/>
  <c r="X21" i="11"/>
  <c r="Y21" i="11"/>
  <c r="X22" i="11"/>
  <c r="Y22" i="11"/>
  <c r="X23" i="11"/>
  <c r="Y23" i="11"/>
  <c r="X24" i="11"/>
  <c r="Y24" i="11"/>
  <c r="Y16" i="11"/>
  <c r="X16" i="11"/>
  <c r="S26" i="13"/>
  <c r="T26" i="13"/>
  <c r="U26" i="13"/>
  <c r="AB13" i="1" s="1"/>
  <c r="V26" i="13"/>
  <c r="W26" i="13"/>
  <c r="X26" i="13"/>
  <c r="AC13" i="1" s="1"/>
  <c r="Y26" i="13"/>
  <c r="AG13" i="1" s="1"/>
  <c r="AG20" i="1" s="1"/>
  <c r="Z26" i="13"/>
  <c r="R26" i="13"/>
  <c r="AA13" i="1" s="1"/>
  <c r="AA17" i="13"/>
  <c r="AB17" i="13"/>
  <c r="AC17" i="13"/>
  <c r="AA18" i="13"/>
  <c r="AB18" i="13"/>
  <c r="AC18" i="13"/>
  <c r="AA19" i="13"/>
  <c r="AB19" i="13"/>
  <c r="AC19" i="13"/>
  <c r="AA20" i="13"/>
  <c r="AB20" i="13"/>
  <c r="AC20" i="13"/>
  <c r="AA21" i="13"/>
  <c r="AB21" i="13"/>
  <c r="AC21" i="13"/>
  <c r="AA22" i="13"/>
  <c r="AB22" i="13"/>
  <c r="AC22" i="13"/>
  <c r="AA23" i="13"/>
  <c r="AB23" i="13"/>
  <c r="AA24" i="13"/>
  <c r="AB24" i="13"/>
  <c r="AC24" i="13"/>
  <c r="AA25" i="13"/>
  <c r="AB25" i="13"/>
  <c r="AC25" i="13"/>
  <c r="AC16" i="13"/>
  <c r="AB16" i="13"/>
  <c r="AA16" i="13"/>
  <c r="Y15" i="12"/>
  <c r="Y27" i="12" s="1"/>
  <c r="X15" i="12"/>
  <c r="X27" i="12" s="1"/>
  <c r="AG16" i="16"/>
  <c r="AG40" i="16" s="1"/>
  <c r="AF16" i="16"/>
  <c r="AF40" i="16" s="1"/>
  <c r="AE16" i="16"/>
  <c r="AE40" i="16" s="1"/>
  <c r="AD16" i="16"/>
  <c r="AD40" i="16" s="1"/>
  <c r="X17" i="8"/>
  <c r="Y17" i="8"/>
  <c r="X18" i="8"/>
  <c r="Y18" i="8"/>
  <c r="X19" i="8"/>
  <c r="Y19" i="8"/>
  <c r="X20" i="8"/>
  <c r="Y20" i="8"/>
  <c r="X21" i="8"/>
  <c r="Y21" i="8"/>
  <c r="X22" i="8"/>
  <c r="Y22" i="8"/>
  <c r="X23" i="8"/>
  <c r="Y23" i="8"/>
  <c r="X24" i="8"/>
  <c r="Y24" i="8"/>
  <c r="Y16" i="8"/>
  <c r="X16" i="8"/>
  <c r="R26" i="7"/>
  <c r="AA9" i="1" s="1"/>
  <c r="S26" i="7"/>
  <c r="T26" i="7"/>
  <c r="AB9" i="1" s="1"/>
  <c r="U26" i="7"/>
  <c r="V26" i="7"/>
  <c r="AC9" i="1" s="1"/>
  <c r="W26" i="7"/>
  <c r="X17" i="7"/>
  <c r="Y17" i="7"/>
  <c r="X18" i="7"/>
  <c r="Y18" i="7"/>
  <c r="X19" i="7"/>
  <c r="Y19" i="7"/>
  <c r="X20" i="7"/>
  <c r="Y20" i="7"/>
  <c r="X21" i="7"/>
  <c r="Y21" i="7"/>
  <c r="X22" i="7"/>
  <c r="Y22" i="7"/>
  <c r="X23" i="7"/>
  <c r="Y23" i="7"/>
  <c r="X24" i="7"/>
  <c r="Y24" i="7"/>
  <c r="Y16" i="7"/>
  <c r="X16" i="7"/>
  <c r="N27" i="6"/>
  <c r="AA8" i="1" s="1"/>
  <c r="O27" i="6"/>
  <c r="AB8" i="1" s="1"/>
  <c r="P27" i="6"/>
  <c r="AC8" i="1" s="1"/>
  <c r="Q16" i="6"/>
  <c r="Q17" i="6"/>
  <c r="Q18" i="6"/>
  <c r="Q19" i="6"/>
  <c r="Q20" i="6"/>
  <c r="Q21" i="6"/>
  <c r="Q22" i="6"/>
  <c r="Q15" i="6"/>
  <c r="X30" i="5" l="1"/>
  <c r="AE20" i="1"/>
  <c r="AF20" i="1"/>
  <c r="Y21" i="2"/>
  <c r="Y22" i="4"/>
  <c r="Y25" i="11"/>
  <c r="AB26" i="13"/>
  <c r="AC26" i="13"/>
  <c r="Y34" i="8"/>
  <c r="Q123" i="14"/>
  <c r="X21" i="2"/>
  <c r="X22" i="4"/>
  <c r="Y22" i="15"/>
  <c r="X22" i="15"/>
  <c r="X25" i="11"/>
  <c r="AA26" i="13"/>
  <c r="X34" i="8"/>
  <c r="X26" i="7"/>
  <c r="Y26" i="7"/>
  <c r="Q27" i="6"/>
  <c r="AP9" i="1"/>
  <c r="AP10" i="1"/>
  <c r="AP11" i="1"/>
  <c r="AP12" i="1"/>
  <c r="AP13" i="1"/>
  <c r="AP14" i="1"/>
  <c r="AP15" i="1"/>
  <c r="AP16" i="1"/>
  <c r="AP17" i="1"/>
  <c r="AP18" i="1"/>
  <c r="AP19" i="1"/>
  <c r="AP8" i="1"/>
  <c r="AL9" i="1"/>
  <c r="AL10" i="1"/>
  <c r="AL11" i="1"/>
  <c r="AL12" i="1"/>
  <c r="AL13" i="1"/>
  <c r="AL14" i="1"/>
  <c r="AL15" i="1"/>
  <c r="AL16" i="1"/>
  <c r="AL17" i="1"/>
  <c r="AL18" i="1"/>
  <c r="AL19" i="1"/>
  <c r="AL8" i="1"/>
  <c r="AH9" i="1"/>
  <c r="AH10" i="1"/>
  <c r="AH11" i="1"/>
  <c r="AH12" i="1"/>
  <c r="AH13" i="1"/>
  <c r="AH14" i="1"/>
  <c r="AH15" i="1"/>
  <c r="AH16" i="1"/>
  <c r="AH17" i="1"/>
  <c r="AH18" i="1"/>
  <c r="AH19" i="1"/>
  <c r="AH8" i="1"/>
  <c r="AD9" i="1"/>
  <c r="AD10" i="1"/>
  <c r="AD11" i="1"/>
  <c r="AD12" i="1"/>
  <c r="AD13" i="1"/>
  <c r="AD14" i="1"/>
  <c r="AD15" i="1"/>
  <c r="AD16" i="1"/>
  <c r="AD17" i="1"/>
  <c r="AD18" i="1"/>
  <c r="AD8" i="1"/>
  <c r="AP20" i="1" l="1"/>
  <c r="AL20" i="1"/>
  <c r="AH20" i="1"/>
  <c r="V9" i="1"/>
  <c r="V10" i="1"/>
  <c r="V11" i="1"/>
  <c r="V12" i="1"/>
  <c r="V13" i="1"/>
  <c r="V14" i="1"/>
  <c r="V15" i="1"/>
  <c r="V16" i="1"/>
  <c r="V17" i="1"/>
  <c r="V18" i="1"/>
  <c r="V19" i="1"/>
  <c r="V8" i="1"/>
  <c r="L21" i="15" l="1"/>
  <c r="N21" i="15"/>
  <c r="N20" i="5"/>
  <c r="N30" i="5" s="1"/>
  <c r="L20" i="2" l="1"/>
  <c r="N19" i="2"/>
  <c r="L19" i="2"/>
  <c r="N21" i="11"/>
  <c r="N21" i="12"/>
  <c r="N27" i="12" s="1"/>
  <c r="N22" i="16" l="1"/>
  <c r="N40" i="16" s="1"/>
  <c r="N22" i="8" l="1"/>
  <c r="L22" i="8"/>
  <c r="N21" i="7" l="1"/>
  <c r="N26" i="7" s="1"/>
  <c r="M9" i="1" s="1"/>
  <c r="K123" i="14"/>
  <c r="L19" i="1" s="1"/>
  <c r="L123" i="14"/>
  <c r="M19" i="1" s="1"/>
  <c r="J123" i="14"/>
  <c r="K19" i="1" s="1"/>
  <c r="M16" i="14"/>
  <c r="M17" i="14"/>
  <c r="M18" i="14"/>
  <c r="M19" i="14"/>
  <c r="M20" i="14"/>
  <c r="M21" i="14"/>
  <c r="M22" i="14"/>
  <c r="M23" i="14"/>
  <c r="M24" i="14"/>
  <c r="M25" i="14"/>
  <c r="M26" i="14"/>
  <c r="M27" i="14"/>
  <c r="M28" i="14"/>
  <c r="M29" i="14"/>
  <c r="M30" i="14"/>
  <c r="M31" i="14"/>
  <c r="M32" i="14"/>
  <c r="M33" i="14"/>
  <c r="M34" i="14"/>
  <c r="M35" i="14"/>
  <c r="M36" i="14"/>
  <c r="M37" i="14"/>
  <c r="M38" i="14"/>
  <c r="M39" i="14"/>
  <c r="M40" i="14"/>
  <c r="M41" i="14"/>
  <c r="M42" i="14"/>
  <c r="M43" i="14"/>
  <c r="M44" i="14"/>
  <c r="M45" i="14"/>
  <c r="M46" i="14"/>
  <c r="M47" i="14"/>
  <c r="M48" i="14"/>
  <c r="M49" i="14"/>
  <c r="M50" i="14"/>
  <c r="M51" i="14"/>
  <c r="M52" i="14"/>
  <c r="M53" i="14"/>
  <c r="M54" i="14"/>
  <c r="M55" i="14"/>
  <c r="M56" i="14"/>
  <c r="M57" i="14"/>
  <c r="M58" i="14"/>
  <c r="M59" i="14"/>
  <c r="M60" i="14"/>
  <c r="M61" i="14"/>
  <c r="M62" i="14"/>
  <c r="M63" i="14"/>
  <c r="M64" i="14"/>
  <c r="M65" i="14"/>
  <c r="M66" i="14"/>
  <c r="M67" i="14"/>
  <c r="M68" i="14"/>
  <c r="M69" i="14"/>
  <c r="M70" i="14"/>
  <c r="M71" i="14"/>
  <c r="M72" i="14"/>
  <c r="M73" i="14"/>
  <c r="M74" i="14"/>
  <c r="M75" i="14"/>
  <c r="M76" i="14"/>
  <c r="M77" i="14"/>
  <c r="M78" i="14"/>
  <c r="M79" i="14"/>
  <c r="M80" i="14"/>
  <c r="M81" i="14"/>
  <c r="M82" i="14"/>
  <c r="M83" i="14"/>
  <c r="M84" i="14"/>
  <c r="M85" i="14"/>
  <c r="M86" i="14"/>
  <c r="M87" i="14"/>
  <c r="M88" i="14"/>
  <c r="M89" i="14"/>
  <c r="M90" i="14"/>
  <c r="M91" i="14"/>
  <c r="M92" i="14"/>
  <c r="M93" i="14"/>
  <c r="M94" i="14"/>
  <c r="M95" i="14"/>
  <c r="M96" i="14"/>
  <c r="M97" i="14"/>
  <c r="M98" i="14"/>
  <c r="M99" i="14"/>
  <c r="M100" i="14"/>
  <c r="M101" i="14"/>
  <c r="M102" i="14"/>
  <c r="M103" i="14"/>
  <c r="M104" i="14"/>
  <c r="M105" i="14"/>
  <c r="M106" i="14"/>
  <c r="M107" i="14"/>
  <c r="M108" i="14"/>
  <c r="M109" i="14"/>
  <c r="M110" i="14"/>
  <c r="M111" i="14"/>
  <c r="M112" i="14"/>
  <c r="M113" i="14"/>
  <c r="M114" i="14"/>
  <c r="M115" i="14"/>
  <c r="M116" i="14"/>
  <c r="M117" i="14"/>
  <c r="M118" i="14"/>
  <c r="M119" i="14"/>
  <c r="M120" i="14"/>
  <c r="M121" i="14"/>
  <c r="M122" i="14"/>
  <c r="M15" i="14"/>
  <c r="O17" i="1"/>
  <c r="L17" i="1"/>
  <c r="P17" i="1"/>
  <c r="M17" i="1"/>
  <c r="Q17" i="1"/>
  <c r="K17" i="1"/>
  <c r="P17" i="5"/>
  <c r="Q17" i="5"/>
  <c r="P18" i="5"/>
  <c r="Q18" i="5"/>
  <c r="P19" i="5"/>
  <c r="Q19" i="5"/>
  <c r="P20" i="5"/>
  <c r="Q20" i="5"/>
  <c r="P21" i="5"/>
  <c r="Q21" i="5"/>
  <c r="Q16" i="5"/>
  <c r="P16" i="5"/>
  <c r="K21" i="2"/>
  <c r="O16" i="1" s="1"/>
  <c r="L21" i="2"/>
  <c r="L16" i="1" s="1"/>
  <c r="M21" i="2"/>
  <c r="P16" i="1" s="1"/>
  <c r="N21" i="2"/>
  <c r="M16" i="1" s="1"/>
  <c r="O21" i="2"/>
  <c r="Q16" i="1" s="1"/>
  <c r="J21" i="2"/>
  <c r="K16" i="1" s="1"/>
  <c r="P17" i="2"/>
  <c r="Q17" i="2"/>
  <c r="P18" i="2"/>
  <c r="Q18" i="2"/>
  <c r="P19" i="2"/>
  <c r="Q19" i="2"/>
  <c r="P20" i="2"/>
  <c r="Q20" i="2"/>
  <c r="Q16" i="2"/>
  <c r="P16" i="2"/>
  <c r="K22" i="4"/>
  <c r="O15" i="1" s="1"/>
  <c r="L22" i="4"/>
  <c r="L15" i="1" s="1"/>
  <c r="M22" i="4"/>
  <c r="P15" i="1" s="1"/>
  <c r="N22" i="4"/>
  <c r="M15" i="1" s="1"/>
  <c r="O22" i="4"/>
  <c r="Q15" i="1" s="1"/>
  <c r="J22" i="4"/>
  <c r="K15" i="1" s="1"/>
  <c r="P17" i="4"/>
  <c r="Q17" i="4"/>
  <c r="P18" i="4"/>
  <c r="Q18" i="4"/>
  <c r="P19" i="4"/>
  <c r="Q19" i="4"/>
  <c r="P20" i="4"/>
  <c r="Q20" i="4"/>
  <c r="P21" i="4"/>
  <c r="Q21" i="4"/>
  <c r="Q16" i="4"/>
  <c r="P16" i="4"/>
  <c r="K22" i="15"/>
  <c r="L22" i="15"/>
  <c r="L18" i="1" s="1"/>
  <c r="M22" i="15"/>
  <c r="N22" i="15"/>
  <c r="M18" i="1" s="1"/>
  <c r="O22" i="15"/>
  <c r="J22" i="15"/>
  <c r="K18" i="1" s="1"/>
  <c r="P18" i="15"/>
  <c r="Q18" i="15"/>
  <c r="P19" i="15"/>
  <c r="Q19" i="15"/>
  <c r="P20" i="15"/>
  <c r="Q20" i="15"/>
  <c r="P21" i="15"/>
  <c r="Q21" i="15"/>
  <c r="Q17" i="15"/>
  <c r="P17" i="15"/>
  <c r="K25" i="11"/>
  <c r="O14" i="1" s="1"/>
  <c r="L25" i="11"/>
  <c r="L14" i="1" s="1"/>
  <c r="M25" i="11"/>
  <c r="P14" i="1" s="1"/>
  <c r="N25" i="11"/>
  <c r="M14" i="1" s="1"/>
  <c r="O25" i="11"/>
  <c r="Q14" i="1" s="1"/>
  <c r="J25" i="11"/>
  <c r="K14" i="1" s="1"/>
  <c r="P17" i="11"/>
  <c r="Q17" i="11"/>
  <c r="P18" i="11"/>
  <c r="Q18" i="11"/>
  <c r="P19" i="11"/>
  <c r="Q19" i="11"/>
  <c r="P20" i="11"/>
  <c r="Q20" i="11"/>
  <c r="P21" i="11"/>
  <c r="Q21" i="11"/>
  <c r="P22" i="11"/>
  <c r="Q22" i="11"/>
  <c r="P23" i="11"/>
  <c r="Q23" i="11"/>
  <c r="P24" i="11"/>
  <c r="Q24" i="11"/>
  <c r="Q16" i="11"/>
  <c r="P16" i="11"/>
  <c r="K26" i="13"/>
  <c r="O13" i="1" s="1"/>
  <c r="L26" i="13"/>
  <c r="L13" i="1" s="1"/>
  <c r="M26" i="13"/>
  <c r="P13" i="1" s="1"/>
  <c r="N26" i="13"/>
  <c r="M13" i="1" s="1"/>
  <c r="O26" i="13"/>
  <c r="Q13" i="1" s="1"/>
  <c r="J26" i="13"/>
  <c r="K13" i="1" s="1"/>
  <c r="P17" i="13"/>
  <c r="Q17" i="13"/>
  <c r="P18" i="13"/>
  <c r="Q18" i="13"/>
  <c r="P19" i="13"/>
  <c r="Q19" i="13"/>
  <c r="P20" i="13"/>
  <c r="Q20" i="13"/>
  <c r="P21" i="13"/>
  <c r="Q21" i="13"/>
  <c r="P22" i="13"/>
  <c r="Q22" i="13"/>
  <c r="P23" i="13"/>
  <c r="Q23" i="13"/>
  <c r="P24" i="13"/>
  <c r="Q24" i="13"/>
  <c r="P25" i="13"/>
  <c r="Q25" i="13"/>
  <c r="Q16" i="13"/>
  <c r="P16" i="13"/>
  <c r="P16" i="12"/>
  <c r="Q16" i="12"/>
  <c r="P17" i="12"/>
  <c r="Q17" i="12"/>
  <c r="P18" i="12"/>
  <c r="Q18" i="12"/>
  <c r="P19" i="12"/>
  <c r="Q19" i="12"/>
  <c r="P20" i="12"/>
  <c r="Q20" i="12"/>
  <c r="P21" i="12"/>
  <c r="Q21" i="12"/>
  <c r="P22" i="12"/>
  <c r="Q22" i="12"/>
  <c r="Q15" i="12"/>
  <c r="P15" i="12"/>
  <c r="O12" i="1"/>
  <c r="L12" i="1"/>
  <c r="P12" i="1"/>
  <c r="M12" i="1"/>
  <c r="Q12" i="1"/>
  <c r="K12" i="1"/>
  <c r="P11" i="1"/>
  <c r="P17" i="16"/>
  <c r="Q17" i="16"/>
  <c r="P18" i="16"/>
  <c r="Q18" i="16"/>
  <c r="P19" i="16"/>
  <c r="Q19" i="16"/>
  <c r="P20" i="16"/>
  <c r="Q20" i="16"/>
  <c r="P21" i="16"/>
  <c r="Q21" i="16"/>
  <c r="P22" i="16"/>
  <c r="Q22" i="16"/>
  <c r="P23" i="16"/>
  <c r="Q23" i="16"/>
  <c r="P24" i="16"/>
  <c r="Q24" i="16"/>
  <c r="P25" i="16"/>
  <c r="Q25" i="16"/>
  <c r="Q16" i="16"/>
  <c r="P16" i="16"/>
  <c r="O11" i="1"/>
  <c r="L11" i="1"/>
  <c r="M11" i="1"/>
  <c r="Q11" i="1"/>
  <c r="K11" i="1"/>
  <c r="P17" i="8"/>
  <c r="Q17" i="8"/>
  <c r="P18" i="8"/>
  <c r="Q18" i="8"/>
  <c r="P19" i="8"/>
  <c r="Q19" i="8"/>
  <c r="P20" i="8"/>
  <c r="Q20" i="8"/>
  <c r="P21" i="8"/>
  <c r="Q21" i="8"/>
  <c r="P22" i="8"/>
  <c r="Q22" i="8"/>
  <c r="P23" i="8"/>
  <c r="Q23" i="8"/>
  <c r="P24" i="8"/>
  <c r="Q24" i="8"/>
  <c r="Q16" i="8"/>
  <c r="P16" i="8"/>
  <c r="K34" i="8"/>
  <c r="O10" i="1" s="1"/>
  <c r="L34" i="8"/>
  <c r="L10" i="1" s="1"/>
  <c r="M34" i="8"/>
  <c r="P10" i="1" s="1"/>
  <c r="N34" i="8"/>
  <c r="M10" i="1" s="1"/>
  <c r="O34" i="8"/>
  <c r="Q10" i="1" s="1"/>
  <c r="J34" i="8"/>
  <c r="K10" i="1" s="1"/>
  <c r="K26" i="7"/>
  <c r="O9" i="1" s="1"/>
  <c r="L26" i="7"/>
  <c r="L9" i="1" s="1"/>
  <c r="M26" i="7"/>
  <c r="P9" i="1" s="1"/>
  <c r="O26" i="7"/>
  <c r="Q9" i="1" s="1"/>
  <c r="J26" i="7"/>
  <c r="K9" i="1" s="1"/>
  <c r="P17" i="7"/>
  <c r="Q17" i="7"/>
  <c r="P18" i="7"/>
  <c r="Q18" i="7"/>
  <c r="P19" i="7"/>
  <c r="Q19" i="7"/>
  <c r="P20" i="7"/>
  <c r="Q20" i="7"/>
  <c r="P21" i="7"/>
  <c r="Q21" i="7"/>
  <c r="P22" i="7"/>
  <c r="Q22" i="7"/>
  <c r="P23" i="7"/>
  <c r="Q23" i="7"/>
  <c r="P24" i="7"/>
  <c r="Q24" i="7"/>
  <c r="Q16" i="7"/>
  <c r="P16" i="7"/>
  <c r="M16" i="6"/>
  <c r="M17" i="6"/>
  <c r="M18" i="6"/>
  <c r="M19" i="6"/>
  <c r="M20" i="6"/>
  <c r="M21" i="6"/>
  <c r="M22" i="6"/>
  <c r="M15" i="6"/>
  <c r="K27" i="6"/>
  <c r="L8" i="1" s="1"/>
  <c r="L27" i="6"/>
  <c r="M8" i="1" s="1"/>
  <c r="J27" i="6"/>
  <c r="K8" i="1" s="1"/>
  <c r="X20" i="1"/>
  <c r="Y20" i="1"/>
  <c r="W20" i="1"/>
  <c r="Z9" i="1"/>
  <c r="Z10" i="1"/>
  <c r="Z11" i="1"/>
  <c r="Z12" i="1"/>
  <c r="Z13" i="1"/>
  <c r="Z14" i="1"/>
  <c r="Z15" i="1"/>
  <c r="Z16" i="1"/>
  <c r="Z17" i="1"/>
  <c r="Z18" i="1"/>
  <c r="Z19" i="1"/>
  <c r="Z8" i="1"/>
  <c r="R18" i="1"/>
  <c r="R19" i="1"/>
  <c r="R8" i="1"/>
  <c r="P30" i="5" l="1"/>
  <c r="Q30" i="5"/>
  <c r="P27" i="12"/>
  <c r="Q22" i="15"/>
  <c r="Q27" i="12"/>
  <c r="P34" i="8"/>
  <c r="Q40" i="16"/>
  <c r="P40" i="16"/>
  <c r="Q34" i="8"/>
  <c r="R11" i="1"/>
  <c r="R10" i="1"/>
  <c r="N19" i="1"/>
  <c r="P21" i="2"/>
  <c r="Q22" i="4"/>
  <c r="Q25" i="11"/>
  <c r="Q26" i="13"/>
  <c r="Q26" i="7"/>
  <c r="R17" i="1"/>
  <c r="Q21" i="2"/>
  <c r="N16" i="1"/>
  <c r="P22" i="4"/>
  <c r="N15" i="1"/>
  <c r="N18" i="1"/>
  <c r="P22" i="15"/>
  <c r="P25" i="11"/>
  <c r="P26" i="13"/>
  <c r="N9" i="1"/>
  <c r="P26" i="7"/>
  <c r="M27" i="6"/>
  <c r="M123" i="14"/>
  <c r="N17" i="1"/>
  <c r="R16" i="1"/>
  <c r="R15" i="1"/>
  <c r="Q20" i="1"/>
  <c r="R14" i="1"/>
  <c r="N14" i="1"/>
  <c r="R13" i="1"/>
  <c r="O20" i="1"/>
  <c r="M20" i="1"/>
  <c r="N13" i="1"/>
  <c r="R12" i="1"/>
  <c r="N12" i="1"/>
  <c r="N11" i="1"/>
  <c r="P20" i="1"/>
  <c r="N10" i="1"/>
  <c r="Z20" i="1"/>
  <c r="R9" i="1"/>
  <c r="L20" i="1"/>
  <c r="K20" i="1"/>
  <c r="N8" i="1"/>
  <c r="E26" i="13"/>
  <c r="C25" i="13"/>
  <c r="C94" i="14"/>
  <c r="R20" i="1" l="1"/>
  <c r="N20" i="1"/>
  <c r="C25" i="14"/>
  <c r="C23" i="14"/>
  <c r="C19" i="5"/>
  <c r="C18" i="2"/>
  <c r="C19" i="4"/>
  <c r="F122" i="14"/>
  <c r="E122" i="14"/>
  <c r="D120" i="14"/>
  <c r="D121" i="14" s="1"/>
  <c r="C119" i="14"/>
  <c r="C118" i="14"/>
  <c r="C117" i="14"/>
  <c r="C116" i="14"/>
  <c r="D114" i="14"/>
  <c r="C114" i="14" s="1"/>
  <c r="C113" i="14"/>
  <c r="C112" i="14"/>
  <c r="C111" i="14"/>
  <c r="C110" i="14"/>
  <c r="C109" i="14"/>
  <c r="C106" i="14"/>
  <c r="C105" i="14"/>
  <c r="C104" i="14"/>
  <c r="D103" i="14"/>
  <c r="C103" i="14" s="1"/>
  <c r="D101" i="14"/>
  <c r="C101" i="14" s="1"/>
  <c r="C100" i="14"/>
  <c r="C99" i="14"/>
  <c r="C98" i="14"/>
  <c r="C95" i="14"/>
  <c r="C93" i="14"/>
  <c r="C92" i="14"/>
  <c r="D90" i="14"/>
  <c r="C90" i="14" s="1"/>
  <c r="C89" i="14"/>
  <c r="C88" i="14"/>
  <c r="D86" i="14"/>
  <c r="C86" i="14" s="1"/>
  <c r="C85" i="14"/>
  <c r="C84" i="14"/>
  <c r="C83" i="14"/>
  <c r="C82" i="14"/>
  <c r="C81" i="14"/>
  <c r="D79" i="14"/>
  <c r="C79" i="14" s="1"/>
  <c r="C78" i="14"/>
  <c r="C77" i="14"/>
  <c r="C76" i="14"/>
  <c r="C75" i="14"/>
  <c r="D73" i="14"/>
  <c r="C73" i="14" s="1"/>
  <c r="C72" i="14"/>
  <c r="C71" i="14"/>
  <c r="C70" i="14"/>
  <c r="C69" i="14"/>
  <c r="C68" i="14"/>
  <c r="D66" i="14"/>
  <c r="C66" i="14" s="1"/>
  <c r="C65" i="14"/>
  <c r="C64" i="14"/>
  <c r="C63" i="14"/>
  <c r="C62" i="14"/>
  <c r="C61" i="14"/>
  <c r="D59" i="14"/>
  <c r="C59" i="14" s="1"/>
  <c r="C58" i="14"/>
  <c r="C57" i="14"/>
  <c r="C56" i="14"/>
  <c r="C55" i="14"/>
  <c r="C54" i="14"/>
  <c r="C53" i="14"/>
  <c r="C52" i="14"/>
  <c r="C49" i="14"/>
  <c r="C48" i="14"/>
  <c r="D47" i="14"/>
  <c r="D50" i="14" s="1"/>
  <c r="C50" i="14" s="1"/>
  <c r="C46" i="14"/>
  <c r="D44" i="14"/>
  <c r="C44" i="14" s="1"/>
  <c r="C43" i="14"/>
  <c r="C42" i="14"/>
  <c r="C41" i="14"/>
  <c r="D39" i="14"/>
  <c r="C39" i="14" s="1"/>
  <c r="C38" i="14"/>
  <c r="C37" i="14"/>
  <c r="C36" i="14"/>
  <c r="C35" i="14"/>
  <c r="C34" i="14"/>
  <c r="D32" i="14"/>
  <c r="C32" i="14" s="1"/>
  <c r="C31" i="14"/>
  <c r="C30" i="14"/>
  <c r="C29" i="14"/>
  <c r="C28" i="14"/>
  <c r="C24" i="14"/>
  <c r="C22" i="14"/>
  <c r="D19" i="14"/>
  <c r="C19" i="14" s="1"/>
  <c r="C18" i="14"/>
  <c r="C17" i="14"/>
  <c r="C16" i="14"/>
  <c r="C120" i="14" l="1"/>
  <c r="D26" i="14"/>
  <c r="C26" i="14" s="1"/>
  <c r="C21" i="14"/>
  <c r="D96" i="14"/>
  <c r="C96" i="14" s="1"/>
  <c r="C121" i="14"/>
  <c r="D107" i="14"/>
  <c r="C107" i="14" s="1"/>
  <c r="C47" i="14"/>
  <c r="D122" i="14" l="1"/>
  <c r="C122" i="14"/>
  <c r="F19" i="1" s="1"/>
  <c r="G19" i="1" l="1"/>
  <c r="H19" i="1"/>
  <c r="I19" i="1"/>
  <c r="I11" i="1"/>
  <c r="H11" i="1"/>
  <c r="G11" i="1"/>
  <c r="C16" i="16"/>
  <c r="C40" i="16" l="1"/>
  <c r="J19" i="1"/>
  <c r="F11" i="1" l="1"/>
  <c r="J11" i="1" s="1"/>
  <c r="C17" i="5" l="1"/>
  <c r="G21" i="2" l="1"/>
  <c r="I16" i="1" s="1"/>
  <c r="F21" i="2"/>
  <c r="H16" i="1" s="1"/>
  <c r="E21" i="2"/>
  <c r="G16" i="1" s="1"/>
  <c r="C15" i="6" l="1"/>
  <c r="C17" i="2" l="1"/>
  <c r="C19" i="2"/>
  <c r="C20" i="2"/>
  <c r="C17" i="11" l="1"/>
  <c r="C18" i="11"/>
  <c r="C19" i="11"/>
  <c r="C20" i="11"/>
  <c r="C21" i="11"/>
  <c r="C22" i="11"/>
  <c r="C23" i="11"/>
  <c r="C17" i="13"/>
  <c r="C18" i="13"/>
  <c r="C20" i="13"/>
  <c r="C21" i="13"/>
  <c r="C24" i="13"/>
  <c r="C16" i="12"/>
  <c r="C17" i="12"/>
  <c r="C18" i="12"/>
  <c r="C19" i="12"/>
  <c r="C20" i="12"/>
  <c r="C22" i="12"/>
  <c r="C17" i="8"/>
  <c r="C18" i="8"/>
  <c r="C19" i="8"/>
  <c r="C20" i="8"/>
  <c r="C21" i="8"/>
  <c r="C22" i="8"/>
  <c r="C23" i="8"/>
  <c r="C20" i="5" l="1"/>
  <c r="C21" i="5"/>
  <c r="C18" i="5"/>
  <c r="D21" i="2" l="1"/>
  <c r="F16" i="1" s="1"/>
  <c r="J16" i="1" l="1"/>
  <c r="C18" i="4"/>
  <c r="C20" i="4"/>
  <c r="C18" i="15" l="1"/>
  <c r="C20" i="15"/>
  <c r="C17" i="15"/>
  <c r="C19" i="15"/>
  <c r="C21" i="15"/>
  <c r="C16" i="11" l="1"/>
  <c r="C24" i="11"/>
  <c r="C22" i="13" l="1"/>
  <c r="C19" i="13" l="1"/>
  <c r="C21" i="12"/>
  <c r="C24" i="8" l="1"/>
  <c r="C21" i="4" l="1"/>
  <c r="C23" i="13" l="1"/>
  <c r="D26" i="13"/>
  <c r="C17" i="4"/>
  <c r="C16" i="8" l="1"/>
  <c r="I10" i="1" l="1"/>
  <c r="G9" i="1" l="1"/>
  <c r="E22" i="4" l="1"/>
  <c r="G15" i="1" s="1"/>
  <c r="F22" i="4"/>
  <c r="H15" i="1" s="1"/>
  <c r="G22" i="4"/>
  <c r="I15" i="1" s="1"/>
  <c r="G13" i="1"/>
  <c r="F26" i="13"/>
  <c r="G26" i="13"/>
  <c r="I13" i="1" s="1"/>
  <c r="H13" i="1" l="1"/>
  <c r="C26" i="13"/>
  <c r="E22" i="15"/>
  <c r="G18" i="1" s="1"/>
  <c r="F22" i="15"/>
  <c r="H18" i="1" s="1"/>
  <c r="G22" i="15"/>
  <c r="I18" i="1" s="1"/>
  <c r="G12" i="1"/>
  <c r="H12" i="1"/>
  <c r="I12" i="1"/>
  <c r="G10" i="1"/>
  <c r="H10" i="1"/>
  <c r="E25" i="11"/>
  <c r="G14" i="1" s="1"/>
  <c r="F25" i="11"/>
  <c r="H14" i="1" s="1"/>
  <c r="G25" i="11"/>
  <c r="I14" i="1" s="1"/>
  <c r="I9" i="1" l="1"/>
  <c r="H9" i="1"/>
  <c r="I8" i="1" l="1"/>
  <c r="G8" i="1"/>
  <c r="C16" i="4" l="1"/>
  <c r="D22" i="4" l="1"/>
  <c r="F15" i="1" s="1"/>
  <c r="J15" i="1" s="1"/>
  <c r="C22" i="4"/>
  <c r="C16" i="2"/>
  <c r="C21" i="2" s="1"/>
  <c r="G17" i="1"/>
  <c r="H17" i="1"/>
  <c r="I17" i="1"/>
  <c r="C16" i="5"/>
  <c r="H20" i="1" l="1"/>
  <c r="I20" i="1"/>
  <c r="F17" i="1"/>
  <c r="J17" i="1" s="1"/>
  <c r="F10" i="1" l="1"/>
  <c r="J10" i="1" l="1"/>
  <c r="F8" i="1"/>
  <c r="J8" i="1" s="1"/>
  <c r="D22" i="15" l="1"/>
  <c r="F18" i="1" s="1"/>
  <c r="C22" i="15"/>
  <c r="J18" i="1" l="1"/>
  <c r="C16" i="13"/>
  <c r="F13" i="1"/>
  <c r="J13" i="1" s="1"/>
  <c r="C15" i="12" l="1"/>
  <c r="F12" i="1" l="1"/>
  <c r="J12" i="1" s="1"/>
  <c r="D25" i="11" l="1"/>
  <c r="F14" i="1" l="1"/>
  <c r="J14" i="1" s="1"/>
  <c r="C25" i="11"/>
  <c r="F9" i="1"/>
  <c r="J9" i="1" l="1"/>
  <c r="F20" i="1"/>
  <c r="G20" i="1" l="1"/>
  <c r="J20" i="1"/>
  <c r="AA19" i="1" l="1"/>
  <c r="AA20" i="1" s="1"/>
  <c r="AC19" i="1"/>
  <c r="AC20" i="1" s="1"/>
  <c r="AB19" i="1"/>
  <c r="AD19" i="1" l="1"/>
  <c r="AD20" i="1" s="1"/>
  <c r="AB20" i="1"/>
  <c r="AE21" i="2"/>
  <c r="AW16" i="1" s="1"/>
  <c r="AW20" i="1" s="1"/>
  <c r="AA21" i="2"/>
  <c r="AU16" i="1" s="1"/>
  <c r="AU20" i="1" l="1"/>
  <c r="AC21" i="2"/>
  <c r="AV16" i="1" s="1"/>
  <c r="AG16" i="2"/>
  <c r="AG21" i="2" s="1"/>
  <c r="AV20" i="1" l="1"/>
  <c r="AX16" i="1"/>
  <c r="AX20" i="1" s="1"/>
  <c r="AM21" i="2" l="1"/>
  <c r="BM16" i="1" s="1"/>
  <c r="BM20" i="1" s="1"/>
  <c r="AK21" i="2"/>
  <c r="BL16" i="1" s="1"/>
  <c r="BL20" i="1" s="1"/>
  <c r="AO16" i="2"/>
  <c r="AO21" i="2" s="1"/>
  <c r="AI21" i="2"/>
  <c r="BK16" i="1" s="1"/>
  <c r="BN16" i="1" l="1"/>
  <c r="BN20" i="1" s="1"/>
  <c r="BK20" i="1"/>
  <c r="T20" i="1" l="1"/>
  <c r="U20" i="1"/>
  <c r="V20" i="1"/>
  <c r="S2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BSU</author>
  </authors>
  <commentList>
    <comment ref="F21" authorId="0" shapeId="0" xr:uid="{0F768306-9CA5-4ABE-9BD5-2BF3E334D339}">
      <text>
        <r>
          <rPr>
            <b/>
            <sz val="9"/>
            <color indexed="81"/>
            <rFont val="Tahoma"/>
            <family val="2"/>
          </rPr>
          <t>BSU:</t>
        </r>
        <r>
          <rPr>
            <sz val="9"/>
            <color indexed="81"/>
            <rFont val="Tahoma"/>
            <family val="2"/>
          </rPr>
          <t xml:space="preserve">
34885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BSU</author>
  </authors>
  <commentList>
    <comment ref="D21" authorId="0" shapeId="0" xr:uid="{1A531463-5179-488D-9151-A728BA5C18C5}">
      <text>
        <r>
          <rPr>
            <b/>
            <sz val="9"/>
            <color indexed="81"/>
            <rFont val="Tahoma"/>
            <family val="2"/>
          </rPr>
          <t>BSU:</t>
        </r>
        <r>
          <rPr>
            <sz val="9"/>
            <color indexed="81"/>
            <rFont val="Tahoma"/>
            <family val="2"/>
          </rPr>
          <t xml:space="preserve">
-12 ლარი</t>
        </r>
      </text>
    </comment>
  </commentList>
</comments>
</file>

<file path=xl/sharedStrings.xml><?xml version="1.0" encoding="utf-8"?>
<sst xmlns="http://schemas.openxmlformats.org/spreadsheetml/2006/main" count="1734" uniqueCount="474">
  <si>
    <t>პროგრამის დასახელება - ბსუ-ს ფაკულტეტების, კვლევითი ინსტიტუტებისა და პროფესიული პროგრამების მართვისა და უწყვეტი განათლების ცენტრის მხარდაჭერა</t>
  </si>
  <si>
    <t>N</t>
  </si>
  <si>
    <t>თანხა</t>
  </si>
  <si>
    <t>შედეგის ინდიკატორები</t>
  </si>
  <si>
    <t>შრომის ანაზღაურება</t>
  </si>
  <si>
    <t>პროგრამის მიზანი - არსებული საგანმანათლებლო პროგრამების განხორციელების მატერიალურ-ტექნიკური და ფინანსური მხარდაჭერა,  ახალი საგანმანათლებლო პროგრამების შემუშავების ხელშეწყობა, სამეცნიერო კვლევების განხორციელების სტიმულირება, აკადემიური და მოწვეული პერსონალის კარიერული განვითარების მხარდაჭერა.</t>
  </si>
  <si>
    <t xml:space="preserve">ქვეპროგრამის ბიუჯეტი  </t>
  </si>
  <si>
    <t>საკუთარი შემოსავლები</t>
  </si>
  <si>
    <t>ქვეპროგრამის დასახელება - ბსუ-ს დამოუკიდებელი სამეცნიერო-კვლევითი ერთეული - ფიტოპათოლოგიისა და ბიომრავალფეროვნების ინსტიტუტი</t>
  </si>
  <si>
    <t>ქვეპროგრამის დასახელება - ბსუ-ს დამოუკიდებელი სამეცნიერო-კვლევითი ერთეული - აგრარული და მემბრანული ტექნოლოგიების ინსტიტუტი</t>
  </si>
  <si>
    <t>ქვეპროგრამები:</t>
  </si>
  <si>
    <t>თანხა დაფინანსების წყაროს მიხედვით</t>
  </si>
  <si>
    <t>აჭარის არ რესპუბლიკური ბიუჯეტი</t>
  </si>
  <si>
    <t>სულ</t>
  </si>
  <si>
    <t>მივლინება</t>
  </si>
  <si>
    <t>ქვეპროგრამის დასახელება - ბსუ-ს დამოუკიდებელი სამეცნიერო-კვლევითი ერთეული - ნიკო ბერძენიშვილის ინსტიტუტი</t>
  </si>
  <si>
    <t>მოსალოდნელი შედეგები</t>
  </si>
  <si>
    <t>ქვეპროგრამის დასახელება - ეკონომიკისა და ბიზნესის ფაკულტეტი</t>
  </si>
  <si>
    <t xml:space="preserve"> ბსუ-ს დამოუკიდებელი სამეცნიერო-კვლევითი ერთეული - ნიკო ბერძენიშვილის ინსტიტუტი</t>
  </si>
  <si>
    <t xml:space="preserve"> ბსუ-ს დამოუკიდებელი სამეცნიერო-კვლევითი ერთეული - აგრარული და მემბრანული ტექნოლოგიების ინსტიტუტი</t>
  </si>
  <si>
    <t>ბსუ-ს დამოუკიდებელი სამეცნიერო-კვლევითი ერთეული - ფიტოპათოლოგიისა და ბიომრავალფეროვნების ინსტიტუტი</t>
  </si>
  <si>
    <t>ეკონომიკისა და ბიზნესის ფაკულტეტი</t>
  </si>
  <si>
    <t>დამხმარე და ადმინისტრაციული პერსონალის შრომის ანაზღაურება (საშტატო განრიგის შესაბამისად)</t>
  </si>
  <si>
    <t>აკადემიური პერსონალის შრომის ანაზღაურება (საშტატო განრიგის შესაბამისად)</t>
  </si>
  <si>
    <t>ბსუ-ს პერსონალის სამეცნიერო ნაშრომების საერთაშორისო საკონფერენციო მასალებში  გამოქვეყნება</t>
  </si>
  <si>
    <t>ქვეპროგრამის დასახელება - საბუნებისმეტყველო მეცნიერებათა და ჯანდაცვის ფაკულტეტი</t>
  </si>
  <si>
    <t>საბუნებისმეტყველო მეცნიერებათა და ჯანდაცვის ფაკულტეტი</t>
  </si>
  <si>
    <t>ჰუმანიტარულ მეცნიერებათა ფაკულტეტი</t>
  </si>
  <si>
    <t>ქვეპროგრამის დასახელება - ჰუმანიტარულ მეცნიერებათა ფაკულტეტი</t>
  </si>
  <si>
    <t>ზუსტ მეცნიერებათა და განათლების  ფაკულტეტი</t>
  </si>
  <si>
    <t>ქვეპროგრამის დასახელება - ზუსტ მეცნიერებათა და განათლების ფაკულტეტი</t>
  </si>
  <si>
    <t>ტურიზმის ფაკულტეტი</t>
  </si>
  <si>
    <t>ტექნოლოგიური  ფაკულტეტი</t>
  </si>
  <si>
    <t>პროფესიული პროგრამების მართვისა და უწყვეტი განათლების ცენტრი</t>
  </si>
  <si>
    <t>ქვეპროგრამის დასახელება - ტექნოლოგიური ფაკულტეტი</t>
  </si>
  <si>
    <t>ქვეპროგრამის განხორციელებაზე პასუხისმგებელი სტრუქტურული ერთეული</t>
  </si>
  <si>
    <t>ქვეპროგრამის განხორციელების პერიოდი</t>
  </si>
  <si>
    <t>შიდა საუნივერსიტეტო მიზნობრივი დაფინანსება</t>
  </si>
  <si>
    <t>ქვეპროგრამის დასახელება - ტურიზმის ფაკულტეტი</t>
  </si>
  <si>
    <t>ქვეპროგრამის დასახელება - პროფესიული პროგრამების მართვისა და უწყვეტი განათლების ცენტრი</t>
  </si>
  <si>
    <t>სახელმწიფო ბიუჯეტი</t>
  </si>
  <si>
    <t>გრანტები</t>
  </si>
  <si>
    <t>ღონისძიებების/ხარჯების დასახელება</t>
  </si>
  <si>
    <t>მათ შორის დაფინანსების წყაროს მიხედვით</t>
  </si>
  <si>
    <t>ხარჯების/ღონისძიებების  დასახელება</t>
  </si>
  <si>
    <t xml:space="preserve">დასაქმებულთა უზრუნველყოფა შრომის ანაზღაურებით </t>
  </si>
  <si>
    <t>პერსონალის მიერ საქმიანობის განხორციელება</t>
  </si>
  <si>
    <t>სამეცნიერო  საქმიანობაში ხელშეწყობა, პერსონალის მოტივაციის ამაღლება, საერთაშორისო ცნობადობის გაზრდა,  აკადემიური პერსონალის მიმართ ბსუ-ს მოთხოვნების დაკმაყოფილებაში ხელშეწყობა, პერსონალის პროფესიული სრულყოფის ხელშეწყობა</t>
  </si>
  <si>
    <t xml:space="preserve">მივლინება - პერსონალის მონაწილეობის დაფინანსება საერთაშორისო კონფერენციებში </t>
  </si>
  <si>
    <t>შეძენილი საშუალებები</t>
  </si>
  <si>
    <t xml:space="preserve"> ჰუმანიტარულ მეცნიერებათა ფაკულტეტი</t>
  </si>
  <si>
    <t xml:space="preserve"> ზუსტ მეცნიერებათა და განათლების ფაკულტეტი</t>
  </si>
  <si>
    <t>ტექნოლოგიური ფაკულტეტი</t>
  </si>
  <si>
    <t xml:space="preserve"> ფიტოპათოლოგიისა და ბიომრავალფეროვნების ინსტიტუტი</t>
  </si>
  <si>
    <t>სამეცნიერო კვლევების სამსახური</t>
  </si>
  <si>
    <t>ნიკო ბერძენიშვილის ინსტიტუტი</t>
  </si>
  <si>
    <t>შტატგარეშე თანამშრომელთა შრომის ანაზღაურება</t>
  </si>
  <si>
    <t>სამეცნიერო საქმიანობის განხორციელების ხელშეწყობა</t>
  </si>
  <si>
    <t>ექსპედიციათა რაოდენობა</t>
  </si>
  <si>
    <t>აგრარული და მემბრანული ტექნოლოგიების ინსტიტუტი</t>
  </si>
  <si>
    <t>პროგრამის განხორციელების პერიოდი</t>
  </si>
  <si>
    <t>საჯარო სამართლის იურიდიული პირი - ბათუმის შოთა რუსთაველის სახელმწიფო უნივერსიტეტი</t>
  </si>
  <si>
    <t>ქვეპროგრამის დასახელება - იურიდიული და სოციალურ მეცნიერებათა ფაკულტეტი</t>
  </si>
  <si>
    <t>იურიდიული და სოციალურ მეცნიერებათა ფაკულტეტი</t>
  </si>
  <si>
    <t>ადმინისტრაციული, სამეცნიერო  და დამხმარე პერსონალის შრომის ანაზღაურება  საშტატო განრიგის შესაბამისად</t>
  </si>
  <si>
    <r>
      <rPr>
        <b/>
        <i/>
        <sz val="13"/>
        <color theme="1"/>
        <rFont val="Sylfaen"/>
        <family val="1"/>
        <scheme val="minor"/>
      </rPr>
      <t>ქვეპროგრამის მიზანი</t>
    </r>
    <r>
      <rPr>
        <b/>
        <sz val="13"/>
        <color theme="1"/>
        <rFont val="Sylfaen"/>
        <family val="1"/>
        <scheme val="minor"/>
      </rPr>
      <t xml:space="preserve"> - ინსტიტუტის ფონდებში დაცული ეთნოგრაფიული მასალების (საექსპედიციო დღიურები, ვიზუალური მასალა) თემატური დამუშავება, გამოსაცემად მომზადება; ბათუმის სხვადასხვა სოციალური ჯგუფის სოციოლოგიური კვლევა (რესპოდენტთა სოციოლოგიური გამოკითხვის მასალების მიხედვით); ლექსიკონის-„აჭარულ და ტაო-კლარჯულ კილოთა სიტყვის კონა“-მომზადება; სტამბოლის ქართული სავანის არქივისა და ბიბლიოთეკის შესწავლა;  საფონდო მასალის გამოცემა (აჭარული საუნჯე);  XV ს. – XX ს-ის 90-იან წწ. სამხრეთ-დასავლეთ საქართველოში ეროვნულ-განმათავისუფლებელი ბრძოლების კომპლექსური შესწავლა; ციხისძირის კომპლექსური არქეოლოგიური ძეგლი ისტორიულ-არქეოლოგიური გამოკვლევა.</t>
    </r>
  </si>
  <si>
    <t xml:space="preserve">შრომის ანაზღაურება (შტატგარეშე თანამშრომელთათვს) </t>
  </si>
  <si>
    <t>01.01.2023-31.12.2023</t>
  </si>
  <si>
    <t>შრომის ანაზღაურება (შტატგარეშე თანამშრომელთა ხელფასი)</t>
  </si>
  <si>
    <t>ფაკულტეტის შეუფერხებელი ფუნქციონირების ხელშეწყობა</t>
  </si>
  <si>
    <t>ცენტრის შეუფერხებელი ფუნქციონირების ხელშეწყობა</t>
  </si>
  <si>
    <t>შრომის ანაზღაურება (შტატგარეშე საათობრივი ანაზრაურება)</t>
  </si>
  <si>
    <t>პერსონალის უზრუნველყოფა მივლინებასთან დაკავშირებული ხარეჯებით</t>
  </si>
  <si>
    <t>დასაქმებულის  მივლინებასთან დაკავშირებული ხარჯების უზრუნველყოფა</t>
  </si>
  <si>
    <t>შრომის ანაზღაურება (შტატგარეშე საათობრივი ანაზღაურება)</t>
  </si>
  <si>
    <t>პერსონალის მივლინებასთან დაკავშირებული ხარჯების ანაზღაურება</t>
  </si>
  <si>
    <t xml:space="preserve">შრომის ანაზღაურება (შტატგარეშე საათობრივი ანაზღაურება) </t>
  </si>
  <si>
    <t>პერსონალის მივლინებასთან დაკავშირებული ხარჯების ანზღაურება</t>
  </si>
  <si>
    <t xml:space="preserve"> პერსონალის მივლინებასთან დაკავშირებული ხარჯების ანაზღაურება</t>
  </si>
  <si>
    <t>პერსონალის მივლინებასთან დაკავშირებილი ხარჯების ანაზღაურება</t>
  </si>
  <si>
    <t>შრომის ანაზღაურება (მოწვეული მასწავლებლების  საათობრივი ანაზღაურება)</t>
  </si>
  <si>
    <t xml:space="preserve"> ტექნიკური მხარდაჭერა (ოპტიკური ხელსაწყოები და სკანერი)</t>
  </si>
  <si>
    <t>სტუდენტთა პროფესიული უნარების განითარების ხელშეწყობა</t>
  </si>
  <si>
    <t>პრაქტიკის რაოდენობა</t>
  </si>
  <si>
    <t>სტუდენტთა საერთაშორისო და ადგილობრივი პრაქტიკა/სტაჟირება, სხვადასხვა ღონისძიებაში მონაწილეობა</t>
  </si>
  <si>
    <t>სამეცნიერო საქმიანობის ხელშეწყობა</t>
  </si>
  <si>
    <t xml:space="preserve">ფაკულტეტის ტექნიკური  მხარდაჭერა (კომპიუტერული ტექნიკა, ავეჯი) </t>
  </si>
  <si>
    <t>პროგრამის აღწერა - ბსუ-ს საგანმანათლებლო მიმართულება მოიცავს საბაკალავრო, სამაგისტრო, სადოქტორი და პროფესიულ საგანმანათლებლო პროგრამებს, რომელთა განსახორციელებლად საჭიროა შესაბამისი მატერიალურ-ტექნიკური ბაზა, სამეცნიერო,  აკადემიური და მოწვეული პერსონალით უზრუნველყოფა, განვითარების შესაძლებლობების მხარდაჭერა, მუდმივი სრულყოფა. თუმცა, თანამედროვე გამოწვევების და კონკურენციის პირობებში საგანმანათლებლო დაწესებულება მუდმივად უნდა იყოს ორიენტირებული  ახალი საგანმანათლებლო პროგრამების (განსაკუთრებით უცხოენოვანის) შემუშავებაზე. აკადემიური პერსონალის სამსახურში მიღების წესის თანახმად, მოთხოვნილია სამეცნიერო სტატიების გამოქვეყნება მაღალრეიტინგულ ჟურნალებში, რომელთა ფინანსური მხარდაჭერა მნიშვნელოვანია კარიერული განვითარების მიმართულებით. საგანმანათლებლო პროგრამების ინტერნაციონალიზაციისკენ მისწრაფებაში მნიშვნელოვანია პერსონალის მონაწილეობა საერთაშორისო ფორუმებსა და კონფერენციებში.</t>
  </si>
  <si>
    <t xml:space="preserve">ფაკულტეტის  ტექნიკური მხარდაჭერა 
(კომპიუტერული ტექნიკა და ტელე, აუდიო, ვიდეო აპარატურა, ავეჯი, საექსპოციზიო კარადა) </t>
  </si>
  <si>
    <t>ქვეპროგრამის აღწერა - იურიდიულ და სოციალურ მეცნიერებათა ფაკულტეტზე მოქმედებს რამდენიმე კვლევითი ცენტრი: სოციალური კვლევის ცენტრი, ევროპული კვლევების ცენტრი, საჯარო მმართველობის პრობლემების კვლევის ცენტრი, კრიმინალისტიკის კაბინეტ-ლაბორატორია. ასევე ფუნქციონირებს იურიდიული კლინიკა და ფსიქოლოგიური კლინიკა, რომელთა საქმიანობა პირდაპირპროპორციულად აისახება სალექციო-სააუდიტორიო მუშაობაზე და სტუდენტების კვლევით საქმიანობაზე, ასევე ერთიანდება და თავმოყრილია სასწავლო კურსებში. იგეგმება ფოტოვიდეო სტუდიის ფაკულტეტის სტრუქტურაში ინტეგრაცია და მისი საქმიანობის სრულფასოვნად განხორციელება.</t>
  </si>
  <si>
    <t>სტუდენტთა საერთაშორისო და ადგილობრივი პრაქტიკა/სტაჟირება, ღონისძიებებში მონაწილეობა</t>
  </si>
  <si>
    <t>სტუდენტთა საერთაშორისო და ადგილობრივი სასწავლო პრაქტიკა/სტაჟირება, ღონისძიებებში მონაწილეობა</t>
  </si>
  <si>
    <t>განხორციელებული ექსპედიციები</t>
  </si>
  <si>
    <t>მივლინება ექსპედიციების ჩათვლით</t>
  </si>
  <si>
    <t>შრომის ანაზღაურება (შტატგარეშე)</t>
  </si>
  <si>
    <t>ხარჯების/ღონისძიებების/პროექტის  დასახელება</t>
  </si>
  <si>
    <t>ფაკულტეტის ტექნიკური მხარდაჭერა
(კომპიუტერული ტექნიკა, ავეჯი)</t>
  </si>
  <si>
    <t>ტექნიკური მხარდაჭერა (სტაციონალური-სექციური სათბური, ლაბორატორიული აღჭურვილობა, საყოფაცხოვრებო ტექნიკა, კომპიუტერული ტექნიკა)</t>
  </si>
  <si>
    <t>განხორციელებული საქმიანობა, შეძენილი საშუალებები</t>
  </si>
  <si>
    <r>
      <rPr>
        <b/>
        <i/>
        <sz val="13"/>
        <color theme="1"/>
        <rFont val="Sylfaen"/>
        <family val="1"/>
        <scheme val="minor"/>
      </rPr>
      <t>ქვეპროგრამის აღწერა</t>
    </r>
    <r>
      <rPr>
        <b/>
        <sz val="13"/>
        <color theme="1"/>
        <rFont val="Sylfaen"/>
        <family val="1"/>
        <scheme val="minor"/>
      </rPr>
      <t xml:space="preserve"> - განხორციელდება მატერიალური და სულიერი კულტურის  ამსახველი მასალის (საცხოვრებელი და სამეურნეო ნაგებობები, ხალხური ტრანსპორტი, ტანსაცმელი და ჩაცმულობა, დეკორატიული ხელოვნება, ხალხური დღესასწაულები, ხალხური სამზარეულო) დამუშავება და მომზადება გამოსაცემად;  შესწავლილი იქნება ძველი ბათუმის მცხოვრებთა თვალსაზრისი ქალაქის არსებული არქიტექტურული იერსახის და მისი ურბანული განვითარების  პერსპექტივებზე; ლექსიკონისათვის- „აჭარულ და ტაო-კლარჯულ კილოთა  სიტყვის კონა“- მოხდება მთლიანი შესრულებული მასალის გაერთიანება, შედარება, დაზუსტება. მომზადდება ლექსიკონის შესავალი ნაწილი და  წიგნის ელექტრონული ვერსია. განხორციელდება  წიგნის „წერილები სტამბოლის სავანიდან“ მესამე ტომისათვის მასალის მოძიება, დაჯგუფება, დახარისხება, მონოგრაფიის გამოსაცემად მომზადება; განხორციელდება ინსტიტუტის ფონდებში ასრებული ფოლკლორულ-დიალექტოლოგიური მასალების დამუშავება; განხოეციელდება სამხრეთ-დასავლეთ საქართველოში ეროვნულ-განმათავისუფლებელი ბრძოლების კომპლექსური შესწავლის შედეგად მასალების დამუშავება და გამოსაცემად მომზადება; განხორციელდება აღმოსავლეთ შავიზღვისპირეთის  უმნიშვნელოვანესი კომპლექსური არქეოლოგიური ძეგლის - ციხისძირის მულტიდისციპლინარული ისტორიულ–არქეოლოგიური კვლევა და შედეგების გამოსაცემად მომზადება. 
</t>
    </r>
  </si>
  <si>
    <t>გამხორციელებული საქმიანობა, შეძენილი საშუალებები</t>
  </si>
  <si>
    <t>ფაკულტეტის მიერ საქმიანობის განხორციელება, შეძენილი საშუალებები</t>
  </si>
  <si>
    <t xml:space="preserve">ფაკულტეტის მიერ საქმიანობის განხორციელება, შეძენილი საშუალებები </t>
  </si>
  <si>
    <t xml:space="preserve">ფაკულტეტის ტექნიკური მხარდაჭერა 
(ლაბორატორიული მოწყობილობები და აღჭურვილობა, სამედიცინო მოწყობილობები, მულაჟები, საოფისე და ლაბორატორიული ავეჯი, კომპიუტერული ტექნიკა, ოპტიკური ხელსაწყოები, საზომი ხელსაწყოები, სანავიგაციო მოწყობილობები, კონდიციონერი,  საყოფაცხოვრებო ტექნიკა, ,,ჭკვიანი დაფა", სპეციალური სამედიცინო კომპიუტერული მოწყობილობა) </t>
  </si>
  <si>
    <t>სტუდენტთა პროფესიული უნარების განვითარების ხელშეწყობა</t>
  </si>
  <si>
    <t xml:space="preserve">ფაკულტეტის ადმინისტრაციული  მხარდაჭერა (პოლიგრაფიული, ბეჭდვითი და საგამომცემლო მომსახურება, ელექტრონული პუბლიკაცია (საერთაშორისო ონლაინჟურნალის - ,,ჰუმანიტარული მეცნიერებები ინფორმციულ საზოგადოებაში" მეორე ნომრის მომზადება და ელგამოცემა),  საერთაშორისო ელექტრონულ ბაზებში ჟურნალის განთავსება და ინდექსაცია, ღონისძიებების ორგანიზება (ლიტერატურულ-მუსიკალური კომპოზიციის ფარგლებში), სასაჩუქრე პაკეტი, ლიტერატურა) </t>
  </si>
  <si>
    <t xml:space="preserve">ფაკულტეტის ტექნიკური მხარდაჭერა (კომპიუტერული ტექნიკა, ოპტიკური ხელსაწყოები, საყოფაცხოვრებო ელ. ტექნიკა) </t>
  </si>
  <si>
    <t xml:space="preserve">ფაკულტეტის  ტექნიკური მხარდაჭერა (კომპიუტერული ტექნიკა და აღჭურვილობა, წყლის სათბობი ავზი, ავეჯი, ლაბორატორიული აღჭურვილობა, კონდიციონერი) </t>
  </si>
  <si>
    <t xml:space="preserve">ფაკულტეტის ტექნიკური მხარდაჭერა (ლაბორატორიული აღჭურვილობა, კომპიუტერული ტექნიკა და აქსესუარები, ოპტიკური ხელსაწყოები) </t>
  </si>
  <si>
    <t>ტექნიკური მხარდაჭერა (კომპიუტერული ტექნიკა, საყოფაცხოვრებო ელექტრო ტექნიკა, ლაბორატორიული აღჭურვილობა, ოპტიკური ხელსაწყოები,  სპეციალური დანიშნულების მანქანა/დანადგარები,  ავეჯი)</t>
  </si>
  <si>
    <t xml:space="preserve">ფაკულტეტის ადმინისტრაციული  მხარდაჭერა (პოლიგრაფიული, ბეჭდვითი და საგამომცემლო  მომსახურება, პროგრამული უზრუნველყოფა,  სატრანსპორტო მომსახურება,  ლიტერატურა, სპორტული ინვენტარი, საველე მოწყობილობები, საკანონმდებლო მაცნეს ავტორიზირებული მომხმარებელის საფასური, ლაბორატორიული დანადგარების რემონტი) </t>
  </si>
  <si>
    <t xml:space="preserve">ფაკულტეტის ადმინისტრაციული მხარდაჭერა (პოლიგრაფიული, ბეჭდვითი და საგამომცემლო  მომსახურება,  წარმომადგენლობითი ხარჯები (სასტუმრო, სატრანსპორტო და კვებითი მომსახურებები), მთარგმნელობითი მომსახურება, ლიტერატურა, ბრენდირებული ტანსაცმელი, კონფერენციის ორგანიზება) </t>
  </si>
  <si>
    <t xml:space="preserve"> ფაკულტეტის შეუფერხებელი ფუნქციონირების ხელშეწყობა</t>
  </si>
  <si>
    <t xml:space="preserve">სტუდენტთა სამეცნიერო -კვლევითო საქმანობის მხარდაჭერა, მონაწილეობა საერთაშორისო და აგილობრივ ოლიმპიადებზე  </t>
  </si>
  <si>
    <t>სტუდენტთა მიერ საქმიანობის განხორციელება</t>
  </si>
  <si>
    <r>
      <rPr>
        <b/>
        <i/>
        <sz val="13"/>
        <color theme="1"/>
        <rFont val="Sylfaen"/>
        <family val="1"/>
      </rPr>
      <t>ქვეპროგრამის მიზანი</t>
    </r>
    <r>
      <rPr>
        <b/>
        <sz val="13"/>
        <color theme="1"/>
        <rFont val="Sylfaen"/>
        <family val="1"/>
      </rPr>
      <t xml:space="preserve"> - თანამედროვე მოთხოვნების შესატყვისი კომპეტენციის მქონე, კონკურენტუნარიანი სპეციალისტების მომზადება; მეცნიერების განვითარება; ახალგაზრდა კადრების მოზიდვა და მათი პროფესიული ზრდისათვის ხელშეწყობა; ფაკულტეტის ძირითადი ამოცანებია: სამეცნიერო კვლევაზე ორიენტირებული უმაღლესი აკადემიური განათლების მქონე პირების მომზადება; პრაქტიკული საქმიანობის მიზნით პროფესიული გადამზადების მოკლევადიანი საგანმანათლებლო კურსების/პროგრამების შექმნა და განხორციელება; აკადემიური თავისუფლების უზრუნველყოფით სამეცნიერო კვლევების წარმართვა, ახალი ცოდნის შექმნა და მისი გავრცელებისა თუ პრაქტიკული დანერგვის ხელშეწყობა;  საგანმანათლებლო პროცესში მეცნიერული მიღწევების ინტეგრაცია; საჯარო და გამჭვირვალე მართვის განხორციელება, გადაწყვეტილების მიღებისა და მისი განხორციელების პროცესში მხარეთა მონაწილეობისა თუ ინფორმირებულობის უზრუნველყოფა</t>
    </r>
  </si>
  <si>
    <r>
      <rPr>
        <b/>
        <i/>
        <sz val="13"/>
        <color theme="1"/>
        <rFont val="Sylfaen"/>
        <family val="1"/>
      </rPr>
      <t>ქვეპროგრამის აღწერა</t>
    </r>
    <r>
      <rPr>
        <b/>
        <sz val="13"/>
        <color theme="1"/>
        <rFont val="Sylfaen"/>
        <family val="1"/>
      </rPr>
      <t xml:space="preserve"> - ფაკულტეტზე  მოქმედებს რამდენიმე კვლევითი ცენტრი: სოციალური კვლევის ცენტრი, ევროპული კვლევების ცენტრი, საჯარო მმართველობის პრობლემების კვლევის ცენტრი, კრიმინალისტიკის კაბინეტ-ლაბორატორია. ასევე ფუნქციონირებს იურიდიული კლინიკა და ფსიქოლოგიური კლინიკა, რომელთა საქმიანობა პირდაპირპროპორციულად აისახება სალექციო-სააუდიტორიო მუშაობაზე და სტუდენტების კვლევით საქმიანობაზე, ასევე ერთიანდება და თავმოყრილია სასწავლო კურსებში. იგეგმება ფოტოვიდეო სტუდიის ფაკულტეტის სტრუქტურაში ინტეგრაცია და მისი საქმიანობის სრულფასოვნად განხორციელება.</t>
    </r>
  </si>
  <si>
    <r>
      <rPr>
        <b/>
        <i/>
        <sz val="13"/>
        <color theme="1"/>
        <rFont val="Sylfaen"/>
        <family val="1"/>
      </rPr>
      <t>ქვეპროგრამის მიზანი</t>
    </r>
    <r>
      <rPr>
        <b/>
        <sz val="13"/>
        <color theme="1"/>
        <rFont val="Sylfaen"/>
        <family val="1"/>
      </rPr>
      <t xml:space="preserve"> - აკადემიური თავისუფლებისა და ინსტიტუციური ავტონომიის პირობებში  აკადემიური უმაღლესი განათლების საგანმანათლებლო პროგრამების შემუშავება და განხორციელება,  სამეცნიერო კვლევების განხორციელება ტურიზმის ბიზნესის ადმინისტრირების მიმართულებით, სწავლა-სწავლებისა და კვლევის მაღალი ხარისხის უზრუნველყოფა და ინტეგრაცია ერთიან ევროპულ საგანმანათლებლო სივრცეში,  ტურისტული მომსახურების საერთაშორისო სტანდარტების დამკვიდრების ხელშეწყობა და განათლების პოპულარიზაცია, ტურიზმისა და მასპინძლობის სფეროს მაღალკვალიფიციური სპეციალისტების მომზადება, რომლებსაც ექნებათ სათანადო თეორიული ცოდნა, პრაქტიკული უნარ-ჩვევები და კომპეტენციები, რაც მათ საშუალებას მისცემს  იყვნენ კონკურენტუნარიანი როგორც ადგილობრივ, ისე საერთაშორისო სამეცნიერო სივრცეში და ტურისტული მომსახურების ბაზარზე. </t>
    </r>
  </si>
  <si>
    <r>
      <rPr>
        <b/>
        <i/>
        <sz val="13"/>
        <color theme="1"/>
        <rFont val="Sylfaen"/>
        <family val="1"/>
      </rPr>
      <t>ქვეპროგრამის აღწერა</t>
    </r>
    <r>
      <rPr>
        <b/>
        <sz val="13"/>
        <color theme="1"/>
        <rFont val="Sylfaen"/>
        <family val="1"/>
      </rPr>
      <t xml:space="preserve"> - ფაკულტეტზე ხორციელდება ტურიზმის საბაკალავრო  საგანმანათლებლო პროგრამა, რომლის ფარგლებშიც სტუდენტები  შეისწავლიან  ტურისტული საწარმოს (ორგანიზაციის) მართვის პრინციპებს და გამოუმუშავდებათ  ტურიზმის ბიზნესის სწრაფცვალებად გარემოში მოქმედების,   პროცესების მართვის, მარკეტინგული, ფინანსური პროექტების მართვის უნარები,  შეუძლიათ ტურისტული ორგანიზაციის ან ფუნქციონალური სფეროს წინაშე მდგარი პრობლემის იდენტიფიცირება და დიაგნოსტირება,  პრობლემის გადასაჭრელად შესაბამისი მეთოდების გამოყენება, მათი დასაბუთება და დაცვა.  </t>
    </r>
  </si>
  <si>
    <r>
      <rPr>
        <b/>
        <i/>
        <sz val="13"/>
        <color theme="1"/>
        <rFont val="Sylfaen"/>
        <family val="1"/>
      </rPr>
      <t>ქვეპროგრამის მიზანი</t>
    </r>
    <r>
      <rPr>
        <b/>
        <sz val="13"/>
        <color theme="1"/>
        <rFont val="Sylfaen"/>
        <family val="1"/>
      </rPr>
      <t xml:space="preserve"> - სწავლების მრავალსაფეხურიანობისა და მრავალფეროვნების გათვალისწინებით, ერთიანი პროფესიულ-საგანმანათლებლო სივრცის შექმნაში მონაწილეობის მიღება;  ინდივიდის პროფესიული განვითარების, შრომის ბაზარზე ორიენტირებული, კონკურენტუნარიანი, კვალიფიციური კადრების მომზადების უზრუნველყოფის ხელშეწყობა; საგანმანათლებლო პროგრამების დაგეგმვისა და განხორციელების პროცესში შესაბამისი დარგის დამსაქმებლების მონაწილეობის ხელშეწყობა,  საზოგადოებისათვის უწყვეტი განათლების პროგრამების შეთავაზებით ბსუ-ს როლისა და მნიშვნელობის გაძლიერება.</t>
    </r>
  </si>
  <si>
    <r>
      <rPr>
        <b/>
        <i/>
        <sz val="13"/>
        <color theme="1"/>
        <rFont val="Sylfaen"/>
        <family val="1"/>
      </rPr>
      <t xml:space="preserve"> ქვეპროგრამის აღწერა</t>
    </r>
    <r>
      <rPr>
        <b/>
        <sz val="13"/>
        <color theme="1"/>
        <rFont val="Sylfaen"/>
        <family val="1"/>
      </rPr>
      <t xml:space="preserve"> - ცენტრი ახორციელებს საგანმანათლებლო პროგრამებს და მოკლევადიან პროფესიული მომზადებისა და გადამზადების პროგრამებს. </t>
    </r>
    <r>
      <rPr>
        <b/>
        <sz val="13"/>
        <color rgb="FFFF0000"/>
        <rFont val="Sylfaen"/>
        <family val="1"/>
      </rPr>
      <t xml:space="preserve"> </t>
    </r>
  </si>
  <si>
    <t>ქვეპროგრამის დასახელება - შიდა საუნივერსიტეტო მიზნობრივი დაფინანსება</t>
  </si>
  <si>
    <t xml:space="preserve">პროექტი - „MTHFR 677 C/T გენის პოლიმორფიზმთან
ასოცირებული ზოგიერთი  დაავადება ხანდაზმულ ადამიანებში“, ხელმძღვანელი მ. ქორიძე (საბუნებისმეტყველო მეცნიერებათა და ჯანდაცვის ფაკულტეტი)
</t>
  </si>
  <si>
    <t>კვლევის შედეგად შესწავლილი იქნება  ასაკთან ასოცირებული  დაავადებების კავშირი MTHFR გენის პოლიმორფიზმთან, რის საფუძველზეც შესაძლებელი იქნება MTHFR გენის მუტაციის ჰომო- და ჰეტეროზიგოტური ფორმებით გამოწვეული საშუალო და მაღალი რისკის მქონე პაციენტების გამოვლენა, რასაც ექნება განსაკუთრებული მნიშვნელობა, როგორც ეპიდემიოლოგიური მდგომარეობის, ასევე, სიცოცხლის  გაუმჯობესების თვალსაზრისით. მოხდება MTHFR 677 C/T  გენის პოლიმორფიზმის სტატუსის შეფასება აჭარის მოსახლეობაში. ასაკთან ასოცირებული სხვადასხვა დაავადებისა და MTHFR 677 C/T გენის შესაძლო კავშირის დადგენა და MTHFR 677 C/T  გენის პოლიმორფიზმის შეფასება</t>
  </si>
  <si>
    <t>საერთაშორისო რეცენზირებად/რეფერირებად  ჟურნალში სტატიის გამოქვეყნება</t>
  </si>
  <si>
    <t>1.1.</t>
  </si>
  <si>
    <t>პერსონალის შრომის ანაზღაურება</t>
  </si>
  <si>
    <t>1.2.</t>
  </si>
  <si>
    <t>ერთჯერადი და მრავალჯერადი სახარჯი მასალები</t>
  </si>
  <si>
    <t>1.3.</t>
  </si>
  <si>
    <t>რეაქტივები</t>
  </si>
  <si>
    <t>ჭურიის ტორფნარში მძიმე მეტალების დაგროვების ბუნების დადგენა ხავსში ტორფში და ხავსიდან გამოწურულ წყალში, შედარებითი ანალიზი 2016-2018 წწ თსუ დოქტორანტის სადოქტორო შრომის ,,კოლხეთის სფაგნუმიანი ტორფნარების ტორფიანი პელოიდების კვლევა" კვლევის შედეგებთან, რომელშიც მოცემულია რუსეთ-უკრაინის ომამდელ ტორფნარებში სხვადასხვა მაკრო და მიკრო ელემენტების შემცველობა. შედარებითი ანალიზის შედეგები იქნება ,,ღია მეცნიერების" ერთ-ერთი კომპონენტი</t>
  </si>
  <si>
    <t>2.1.</t>
  </si>
  <si>
    <t>2.2.</t>
  </si>
  <si>
    <t>2.3.</t>
  </si>
  <si>
    <t>არგონის ბალონი 99,95 % სისუფთავის</t>
  </si>
  <si>
    <t>2.4.</t>
  </si>
  <si>
    <t>სტატიის (თარგმნა) გამოქვეყნება ან გამოქვეყნებაზე თანხმობის მიღება</t>
  </si>
  <si>
    <t>2.5.</t>
  </si>
  <si>
    <t>საველე სამუშაოებისთვის საჭირო ხელსაწყოები და მასალები</t>
  </si>
  <si>
    <t xml:space="preserve"> უნივერსიტეტში  შეიქმნება თანამედროვე ტიპის, სამეცნიერო კვლევითი ექსპერიმენტული დანადგარი, რომლის გამოყენებითაც შესაძლებელი იქნება ზედაპირული ფენების ოპტიური თვისებების სპექტრალური გამოკვლევა, გარდატეხის მთავარი მაჩვენებლისა და შთანთქმის მთავარი კოეფიციენტის განსაზღვრის გზით. დაინერგება ექსპერიმენტული კვლევის კიდევ ერთი ახალი მიმართულება რომელიც კიდევ უფრო გააღრმავებს სამეცნიერო კავშირებს არა მარტო ქვეყნის არამედ, მსგავსი კვლევებით დაინტერესებულ სხვა წამყვან სამეცნიერო-კვლევით ცენტრებთანაც</t>
  </si>
  <si>
    <t>3.1.</t>
  </si>
  <si>
    <t>3.2.</t>
  </si>
  <si>
    <t xml:space="preserve">მივლინება </t>
  </si>
  <si>
    <t>3.3.</t>
  </si>
  <si>
    <t>სტატიის გამოქვეყნების საფასური</t>
  </si>
  <si>
    <t>3.4.</t>
  </si>
  <si>
    <t>კვლევითი დანადგარისთვის საჭირო სხვადასხვა აღჭურვილობა/ხელსაწყოები და დეტალები</t>
  </si>
  <si>
    <t>პროექტი „მრავლადწრფივი ექსტრაპოლაციისა და აპროქსიმაციის თეორიის ამოცანები  გრანდ და მორის ტიპის ფუნქციურ სივრცეებში“, ხელმძღვანელი დ. მახარაძე (ზუსტ მეცნიერებათა და განათლების ფაკულტეტი)</t>
  </si>
  <si>
    <t>მივიღებთ  რუბიო  დე  ფრანსიას  წონითი ექსტრაპოლაციის თეორემას მრავლადწრფივი ანალიზის თვალსაზრისით გრანდლებეგების სივრცეებში  მაკენჰაუპტის ვექტორული 𝑨�⃗    პირობის ქვეშ. ამ შედეგზე 
დაყრდნობით დავადგენთ ჰარმონიული ანალიზის მრავლადწრფივ ინტეგრალურ ოპერატორთა შემოსაზღვრულობას აღნიშნულ სივრცეებში. ეს საშუალებას იძლევა    მივიღოთ    მრავლადწრფივი    ანალიზის    მთელი    რიგი  წონიანი უტოლობები. მიღებული იქნება სრულიად ახალი დებულებები, რომელსაც ფართო გამოყენება ექნება აღნიშნული დარგების შემდგომ განვითარებასა და სწავლებაში</t>
  </si>
  <si>
    <t>4.1.</t>
  </si>
  <si>
    <t>4.2.</t>
  </si>
  <si>
    <t>მივლინება ქ/შ</t>
  </si>
  <si>
    <t>4.3.</t>
  </si>
  <si>
    <t>მივლინება ქ/გ</t>
  </si>
  <si>
    <t>4.4.</t>
  </si>
  <si>
    <t>საკანცელარიო ნივთები</t>
  </si>
  <si>
    <t>4.5.</t>
  </si>
  <si>
    <t>ლიტერატურა</t>
  </si>
  <si>
    <t>პროექტი ,,ნივთიერების ოპტიკური თვისებების კვლევა რამდენიმე პოპულარული ქართული თეთრი ღვინის სახეობის    სტატისკიკურ-კომპიუტერული ეტალონური მოდელების შექმნის მაგალითზე", ხელმძღვანელი მ.ხაჯიშვილი (ბსუ-ს მოწვეული უფროსი მასწავლებელი)</t>
  </si>
  <si>
    <t>შეიქმნება  კომპლექსური  ეკოლოგიური  ამოცანების  ეფექტური და ექსპრესული კვლევის ცენტრი ეტაპობრივად შეძენილი ლაბორატორიული აღჭურვილობის, გამზომი ხელსაწყოების, დაგროვილი ცოდნისა და აპრობირებული მეთოდების, აგრეთვე გამოცდილების და რა თქმა უნდა სამეცნიერო პროდუქტის ფართო საზოგადოებისათვის გაცნობის, პოპულარიზაციის და დანერგვის გზით.</t>
  </si>
  <si>
    <t>5.1.</t>
  </si>
  <si>
    <t>5.2.</t>
  </si>
  <si>
    <t>მივლინება (საერთაშორისო კონფერენციაში მონაწილეობა, სტატიის გამოქვეყნება)</t>
  </si>
  <si>
    <t>5.3.</t>
  </si>
  <si>
    <t>ციფრული ტექნიკის შეძენა, პორტატული კომპიუტერი</t>
  </si>
  <si>
    <t>პროექტი ,,ფართო დიაპაზონის ფოროვნების მაღალი მექანიკური, თერმო
და ქიმიურად მდგრადი მიკროფილტრაციული მემბრანების მიღება", ხელმძღვანელი რ. გოცირიძე (აგრარული და მემბრანული ტექნოლოგიების ინსტიტუტი)</t>
  </si>
  <si>
    <t>მემბრანებით დამზადდება მიკროფილტრაციული დანადგარი, მოხდება მასზე დემონსტრირება და მისი დანერგვის შეთავაზება ,,ბათფარმს"-ზე და სხვა წარმოებებზე რომლებიც მუშაობენ თხევად პროდუქტებზე</t>
  </si>
  <si>
    <t>6.1.</t>
  </si>
  <si>
    <t>6.2.</t>
  </si>
  <si>
    <t>ფტოროვანი ფტოროპლასტის მასალა, სატესტო სითხე ,,ფტოროფილი", აზოტი, უჟანგავი რკინის მასალები, სამაგრი ჭანჭიკები და ქანჩები, რკინის საჭრელი, რკინის საღებავი, შესადუღებელი ელექტროდი, ცილინდრული კბილანური წყვილი, დახურული საკისარი და სხვა მსგავსი დეტალები</t>
  </si>
  <si>
    <t>6.3.</t>
  </si>
  <si>
    <t>პრესფორმის ტიპის აპარატი</t>
  </si>
  <si>
    <t>6.4.</t>
  </si>
  <si>
    <t>სტატიის გამოქვეყნება</t>
  </si>
  <si>
    <t>პროექტი ,,აჭარის სუბალპურ ზონაში ადგილობრივი და ინტროდუცირებული მოცვის ნედლეულის წარმოებისა და გადამუშავების რაციონალური ტექნოლოგიების შემუშავება და დანერგვის ორგანიზაცია", პროექტის ხელმძღვანელი ზ. მიქელაძე (აგრარული და მემბრანული ტექნოლოგიების ინსტიტუტი)</t>
  </si>
  <si>
    <t xml:space="preserve">აჭარის სუბტროპიკულ ზონაში ადგილობრივი და ინტროდუცირებული მოცვის ნედლეულიში  სხვადასხვა სახის გრანულირებული (მარცვალა) მწვანე, შავი და ფიტოჩაის დამზადება სხვადასხვა ადგილობრივი ნედლეულის დამატებით, პროდუქცია იქნება  ფართო   ასორტიმენტის, მოიცავს  არა  მარტო გრანულირებულ (მარცვალა) მწვანე და შავ ჩაის არამედ, სხვადასხვა დანიშნულების ფიტოჩაებს. ისინი შეიცავენ საკმაოდ მაღალი შემცველობით ბიოლოგიურ აქტიურ ნივთიერებებს და გამოირჩევიან კარგი მატონიზირებული თვისებებით. </t>
  </si>
  <si>
    <t>7.1.</t>
  </si>
  <si>
    <t>7.2.</t>
  </si>
  <si>
    <t>7.3.</t>
  </si>
  <si>
    <t>ქიმიური რეაქტივები, ჭურჭელი, მასალები და ნედლეული</t>
  </si>
  <si>
    <t>7.4.</t>
  </si>
  <si>
    <t>სამეცნიერო ნაშრომის სარეგისტრაციო ხარჯი</t>
  </si>
  <si>
    <t>7.5.</t>
  </si>
  <si>
    <t>ავტომატური სწრაფი ტენიანობის ანალიზატორი</t>
  </si>
  <si>
    <t>7.6.</t>
  </si>
  <si>
    <t>როლერი</t>
  </si>
  <si>
    <t>7.7.</t>
  </si>
  <si>
    <t>ხილის საშრობი LT-022</t>
  </si>
  <si>
    <t xml:space="preserve">პროექტი ,,ფიტოპათოგენების მიმართ ანტაგონისტი მოკროორგანიზმების შესწავლა და აქტივობით გამორჩეული იზოლატების სექვენირება”, ხელმძღვანელი მ. მურადაშვილი (ფიტოპათოლოგიებისა და ბიომრავალფეროვნების ინსტიტუტი) </t>
  </si>
  <si>
    <t xml:space="preserve">ანტაგონისტი მიკროორგანიზმებისაგან შექმნილი  ბიოპრეპარატი, რომელიც შესაძლებელია წარმატებით იქნას გამოყენებული მცენარეთა დაავადებების წინააღმდეგ პრევენციასა და ბრძოლაში.  მცენარეთა დაავადებების გამომწვევ არაერთ პათოგენთა მიმართ ანტაგონისტ მიკროორგანიზმთა მნიშვნელოვანი ჯგუფების გამოვლენა, მათი მოქმედების სპექტრის და თავისებურების დადგენა, მოხდება გამორჩეული ანტაგონისტების გენეტიკური კვლევა უახლესი ტექნოლოგიით, კერძოდ, მათი სექვენირება    </t>
  </si>
  <si>
    <t>8.1.</t>
  </si>
  <si>
    <t>8.2.</t>
  </si>
  <si>
    <t xml:space="preserve">ქიმიური რეაქტივები </t>
  </si>
  <si>
    <t>8.3.</t>
  </si>
  <si>
    <t>გამოვლენილი ანტაგონისტების (საკვლევი ნიმუშების) სექვენირების ხარჯი ლაბორატორიაში ახალი თაობის ტექნოლოგიების გამოყენებით</t>
  </si>
  <si>
    <t>8.4.</t>
  </si>
  <si>
    <t>8.5.</t>
  </si>
  <si>
    <t>საერთაშორისო კონფერენციაში მონაწილეობის ხარჯი</t>
  </si>
  <si>
    <t>პროექტი ,,ინოვაციური ეკონომიკის განვითარების პერსპექტივები
რეგიონში ეკონომიკისა და ბიზნესის გლობალური გამოწვევების პირობებში“, ხელმძღვანელი გ. აბუსელიძე (ეკონომიკისა და ბიზნესის ფაკულტეტი)</t>
  </si>
  <si>
    <t>შემუშავებული  იქნება თეორიული და პრაქტიკული რეკომენდაციები ინოვაციური ეკონომიკის განვითარების კუთხით, მოხდება რეგიონში ინოვაციური ეკონომიკის განვითარების ტენდენციების, პერსპექტივისა და გამოწვევების მეცნიერული შესწავლა. კვლევის შედეგები გამოყენებადია ისეთი ეკონომიკის ქვეყნებისთვის, რომელთაც გააჩნიათ საქართველოს მსგავსი სოციალურ-ეკონომიკური, პოლიტიკური, ტექნოლოგიური და ფინანსური ბაზრის განვითარების დონე</t>
  </si>
  <si>
    <t>9.1.</t>
  </si>
  <si>
    <t>9.2.</t>
  </si>
  <si>
    <t>მივლინება - საერთაშორისო სამეცნიერო კონფერენციაში მონაწილეობა</t>
  </si>
  <si>
    <t>9.3.</t>
  </si>
  <si>
    <t>მთარგმენლობითი მომსახურება</t>
  </si>
  <si>
    <t>9.4.</t>
  </si>
  <si>
    <t>9.5.</t>
  </si>
  <si>
    <t>ქართულ-ინგლისურ ენოვანი მონოგრაფი(ებ)ის საგამომცემლო მომსახურება: კორექტირება; ISBN, ISSN, DOI მინიჭება; დაბეჭდვა/გამოცემა; ინგლისურ ენოვანი მონოგრაფიის ინდექსირება მეტრიკულ ბაზაში (Google Scholar და/ან EBSCO და სხვ.)</t>
  </si>
  <si>
    <t>პროექტი „უმაღლესი განათლების სახელმწიფო დაფინანსების გავლენა ქვეყნის სოციალურ-ეკონომიკურ განვითარებაზე", ხელმძღვანელი ე. შაინიძე (ეკონომიკისა და ბიზნესის ფაკულტეტი)</t>
  </si>
  <si>
    <t>განხორციელდება უმაღლესი  განათლების  სახელმწიფო  დაფინანსების  ეფექტიანობის შეფასება და ქვეყნის სოციალურ-ეკონომიკურ განვითარებაზე მისი გავლენის დადგენა. მოხდება საკმაოდ მნიშვნელოვანი და მრავალმხრივი სამეცნიერო კვლევა ბსუ-ს ეკონომიკისა და ბიზნესის ფაკულტეტის ყველა დარგობრივი დეპარტამენტის ახალგაზრდა მკვლევარების ჩართულობით. კვლევის საწყის ეტაპზე გამოკითხვის მეთოდის გამოყენება ხელს შეუწყობს უმაღლესი განათლების სახელმწიფო დაფინანსების შესახებ საზოგადოების ინფორმირებულობის ზრდას, გაანალიზდება სხვადასხვა სახელმწიფო პროგრამათა წარმატებისა თუ წარუმატებლობის მიზეზები, გამოიკვეთება პერსპეტივები და შემუშავდება რეკომენდაციები.   დასახული ამოცანების შესაბამისად   კვლევა საკითხების შესწავლის მიზნით განხორციელდება როგორც აჭარის რეგიონში, ისე მთელი საქართველოს მასშტაბით</t>
  </si>
  <si>
    <t>10.1.</t>
  </si>
  <si>
    <t>10.2.</t>
  </si>
  <si>
    <t>10.3.</t>
  </si>
  <si>
    <t>მონოგრაფიის გამოცემა</t>
  </si>
  <si>
    <t>10.4.</t>
  </si>
  <si>
    <t>მონოგრაფიის პრეზენტაციოასთან დაკავშირებული წარმომადგენლობითი ხარჯები (ფურშეტი)</t>
  </si>
  <si>
    <t>პროექტი ,,ბსუ-ს „ევროპარლამენტის TermCoord-ისა და corpus.bsu.edu.ge-ს ტერმინოლოგიური კოორდინაცია“, ხელმძღვანელი ზ. გვარიშვილი (ჰუმანიტარულ მეცნიერებათა ფაკულტეტი)</t>
  </si>
  <si>
    <t xml:space="preserve">განვითარდება ტერმინოლოგიის აკადემიური მიმართულება უშუალოდ რეგიონის უსდ-ში, ტერმინოლოგიაში კვალიფიცირდებიან ბსუ-ს აკადემიური პირები უწყვეტი განათლების ფარგლებში. გარდა ამისა, ტერმინოლოგიური კვალიფიკაციის ამაღლება ბსუ-ს ევროპეისტიკის დეპარტამენტის თანამშრომლებს შორის მნიშვნელოვანია მათი ჩართულობისთვის ბსუ-ში ახალ, საერთაშორისო სამაგისტრო პროგრამაში, რომელსაც აქვს დარგობრივი ტერმინოლოგიის სასწავლო კურსები. პროექტის დასრულების შემდეგ დაწყებულ საქმიანობას აქვს გაგრძელების  უაღრესად ფართო პერსპექტივა. კერძოდ, იმავე TermCoord-ის ტერმინოლოგიურ კატეგორიებში დასამუშავებელი რჩება დარგობრივი მიმართულებები, როგორიცაა იურიდიული, კულტურის სხვა სფეროები, გარემო, ფინანსები, ტექნოლოგიები,  საკვების უსაფრთხოება, აგრარული ტერმინოლოგია, მეღვინეობა და ა. შ.      </t>
  </si>
  <si>
    <t>11.1.</t>
  </si>
  <si>
    <t>11.2.</t>
  </si>
  <si>
    <t>11.3.</t>
  </si>
  <si>
    <t>დარგობრივი მიმართულებით  სამეცნიერო კონფერენციაში მონაწილეობის მიღება  კვლევის შედეგების გაცნობა-გავრცელების მიზნით (ქვეყნის ფარგლებს გარეთ, მივლინებით)</t>
  </si>
  <si>
    <t>11.4.</t>
  </si>
  <si>
    <t>კვლევითი სტატიების მომზადება და გამოქვეყნება საერთაშორისო ინდექსირების მქონე  ჟურნალ(ებ)ში</t>
  </si>
  <si>
    <t>11.5.</t>
  </si>
  <si>
    <t>პროგრამული უზრუნველყოფა (კომპიუტერული პროგრამა)</t>
  </si>
  <si>
    <t>მოხდება ხუცუბნის ადრე ჰოლოცენის ხანის (ძვ.წ. X-VII ათ.) უძველესი ადამიანთა ცხოვრების შესწავლა. პროექტით დაგეგმილი კვლევის წარმატებით განხორციელების შედეგად, საქართველოს  პრეისტორიული არქეოლოგია გამდიდრდება სრულიად ახალი ცოდნით, რომელიც  აჭარის  ტერიტორიაზე დაფიქსირებულ  ადრე  ჰოლოცენის  ხანის ძეგლთა თანამედროვე კვლევების (არქეოლოგიური და ლაბორატორიული) შედეგად შეიქმნება. უახლესი მონაცემების მიხედვით შეიქმნება ფუნდამენტალური ცოდნა კინტრიშის ხეობაში მცხოვრები  უძველესი ადამიანის ცხოვრების შესახებ. გაირკვევა მათი ძირითადი საქმიანობა,  ქვის დამუშავების ტექნოლოგია,  პალეოკლიმატური  გარემო,  ზუსტი  ასაკი, უძველესი კონტაქტები და სხვ.</t>
  </si>
  <si>
    <t>12.1.</t>
  </si>
  <si>
    <t>12.2.</t>
  </si>
  <si>
    <t>ლაბორატორიული კვლევები</t>
  </si>
  <si>
    <t>პროექტი ,,ქართულ-ფრანგული ანდაზების კვლევა და თემატური კრებულის შექმნა", ხელმძღვანელი თ. მაჭუტაძე  (ბსუ-ს მოწვეული უფროსი მასწავლებელი)</t>
  </si>
  <si>
    <t>გამოიცემა თემატურად  დაჯგუფებული, ქართულ-ფრანგული ანდაზების კრებული. ამასთანავე კვლევის შედეგად შეიძლება გამოცემულ იქნას დამხმარე სახელმძღვანელო შესაბამის დისციპლინებში სპეცკურსის სასწავლებლად საბაკალავრო და სამაგისტრო საგანმანათლებლო პროგრამების სწავლებისას</t>
  </si>
  <si>
    <t>13.1.</t>
  </si>
  <si>
    <t>13.2.</t>
  </si>
  <si>
    <t xml:space="preserve">მივლინება - საერთაშორის სამეცნიერო კონფერენციაში მონაწილეობის მიზნით </t>
  </si>
  <si>
    <t>13.3.</t>
  </si>
  <si>
    <t xml:space="preserve">პროექტი ,,ღია მმართველობა როგორც საჯარო მმართველობის რეფორმირების ახალი მოდელის შესწავლა საქართველოს მაგალითზე", ხელმძღვანელი ი. მანველიძე (იურიდიული და სოციალურ მეცნიერებათა ფაკულტეტი) </t>
  </si>
  <si>
    <t xml:space="preserve">კვლევის შედეგის მიზანია მიმოიხილოს და შეაფასოს საქართველოს მთავრობის მიერ განხორციელებული ღია მმართველობის სტრატეგიები, რომელმაც ღია მმართველობის პრინციპებიდან გამომდინარე ხელი შეუწყო მთავრობის საქმიანობის გამჭვირვალობის, ანგარიშვალდებულების და გადაწყვეტილების მიღების პროცესში მოქალაქეთა ჩართულობის უზრუნველყოფის ხარისხის გაუმჯობესებას ახალი ტექნოლოგიებისა და ინოვაციური მეთოდების გამოყენებით. ღია მმართველობა საქართველოს სახელმწიფოს თანამედროვე გამოწვევაა,  რომელიც პირდაპირ პასუხობს ქვეყნის მდგრადი განვთარების მოთხოვენებს, მის სტაბილურობის და უსაფრთხოების უზრუნველყოფას. კვლევის შედე¬გები გამოყენებულ იქნება ღია მმართველობის სრულყოფის მექანიზმების  იმპლემენტაციის  თეორიული და პრაქტიკული  პრობლემების შემდგომი დამუშავების და გადაწყვეტის პროცესში </t>
  </si>
  <si>
    <t>14.1.</t>
  </si>
  <si>
    <t>14.2.</t>
  </si>
  <si>
    <t>14.3.</t>
  </si>
  <si>
    <t>მივლინება - საერთაშორისო კონფერენციაში მონაწილეობის მიზნით</t>
  </si>
  <si>
    <t>პროექტი ,,ზოგიერთი აუტოიმუნური დაავადების  ანვითარებაზე
მოქმედი ფაქტორების შესწავლა", ხელმძღვანელი ლ. ახვლედიანი (საბუნებისმეტყველო მეცნიერებათა და ჯანდაცვის ფაკულტეტი)</t>
  </si>
  <si>
    <t xml:space="preserve">მოხდება აჭარის რეგიონში RA-ითა და AS-ით ავადობაზე მოქმედი ფაქტორების გამოვლენა აჭარის რეგიონში RA-ითა და AS-ით ავადობაზე მოქმედი ფაქტორების გამოვლენა, ლაბორატორიული კვლევის შედეგების და კითხვარების გაანალიზება, სტატისტიკური დამუშავება. კვლევის მოსალოდნელი შედეგია სისხლის კონკრეტული ჯგუფისა და რეზუსის ასოცირება დაავადებათან, სისხლის ჯგუფისა და HLA B27-ის კორელაცია და მათი, როგორც დაავადებისადმი გენეტიკური განპირობებულობის მარკერად გამოყენება.  ასევე,    ცცპ  მიმართ აუტოანტისხეულების  მაღალი  დონის  კორელაცია სისხლის კონკრეტულ ჯგუფთან ან HLA B27-თან, ამ ანტისხეულების AS-ის პათოგენეზში ჩართულობის   გამოვლენის მიზნით   </t>
  </si>
  <si>
    <t>15.1.</t>
  </si>
  <si>
    <t>15.2.</t>
  </si>
  <si>
    <t>15.3.</t>
  </si>
  <si>
    <t>15.4.</t>
  </si>
  <si>
    <t>პროექტი ,,ნოზოკომიური ინფექციების სპექტრის და ანტიბიოტიკორეზისტენტობის პროფილის შესწავლა COVID-19-ით ინფიცირებულ პაციენტებში”, ხელმძღვანელი თ. ქოიავა (საბუნებისმეტყველო მეცნიერებათა და ჯანდაცვის ფაკულტეტი)</t>
  </si>
  <si>
    <t xml:space="preserve">შესაძლებელი გახდება COVID-19-ით ინფიცირებულ პირებში ნოზოკომიური სპექტრის განსაზღვრა (აჭარის რეგიონში), კონკრეტული ბაქტერიული ინფექციების გამომწვევი შტამების გამოყოფა და ამ დაავადების წინააღმდეგ მიმართული სპეციფიკური, მგრძნობიარე ანტიბიოტიკების გამოყოფა და მათი საშუალებით დაავადების ეფექტურად მართვა. მიღებული იქნება სრულიად ახალი, მეცნიერულად მნიშვნელოვანი ინფორმაცია და კიდევ უფრო მეტად მნიშვნელოვანი შედეგი პრაქტიკული თვალსაზრისით - ანტიბიოტიკები, როგორც ბაქტერიული დაავადების კონტროლის საუკეთესო საშუალება </t>
  </si>
  <si>
    <t>16.1.</t>
  </si>
  <si>
    <t>16.2.</t>
  </si>
  <si>
    <t>16.3.</t>
  </si>
  <si>
    <t>16.4.</t>
  </si>
  <si>
    <t>საერთაშორისო სამეცნიერო ღონისძიებაში (კონფერენცია/ კონგრესი/ სემინარი/ ვორკშოპი/ ტრენინგი და სხვა.) მონაწილეობის ხარჯები</t>
  </si>
  <si>
    <t>16.5.</t>
  </si>
  <si>
    <t>სტატიის გამოქვეყნების ხარჯი</t>
  </si>
  <si>
    <t>პროექტი „ქობულურ-აჭარული დედაბრული ხელით“ შესრულებული ხელნაწერების ციფრული კორპუსი”, ხელმძღვანელი მ. ხახუტაიშვილი (ჰუმანიტარულ მეცნიერებათა ფაკულტეტი)</t>
  </si>
  <si>
    <t xml:space="preserve">ხელნაწერ კოლექციაში, მუზეუმებსა და კერძო კოლექციებში დაცული „ქობულურ-აჭარული დედაბრული ხელით“ შესრულებული ხელნაწერების შევსება-სისტემატიზაცია და გაციფრულება, მონაცემთა ორენოვანი (ქართულ-ინგლისური) ბაზის შექმნა, ხელნაწერთა პალეოგრაფიული აღწერილობის შედგენა და ბაზაში განთავსება. პროექტის ფარგლებში შექმნილი სამეცნიერო პროდუქტი ხელს შეუწყობს დედაბრული ხელნაწერების პოპულარიზაციას, გაზრდის აჭარის რეგიონისადმი ინტერესს. „ქობულურ-აჭარული დედაბრული ხელით“ შესრულებული ხელნაწერების საფუძველზე აღწერილობის სტანდარტისა და მონაცემთა ორენოვანი - ქართულ- ინგლისური   ბაზის შექმნა შესაბამისი სამომხმარებლო ინტერფეისით მისი შემდგომი კვლევის გარანტი იქნება </t>
  </si>
  <si>
    <t>17.1.</t>
  </si>
  <si>
    <t>17.2.</t>
  </si>
  <si>
    <t>17.3.</t>
  </si>
  <si>
    <t>ვებ-გვერდის შექმნა</t>
  </si>
  <si>
    <t>17.4.</t>
  </si>
  <si>
    <t>17.5.</t>
  </si>
  <si>
    <t>კომპიუტერი, სპეციალიზებული სკანერი</t>
  </si>
  <si>
    <t>კონფერენციაში მონაწილეობა</t>
  </si>
  <si>
    <t>სამეცნიერო  საქმიანობაში ხელშეწყობა, პერსონალის მოტივაციის ამაღლება, საერთაშორისო ცნობადობის გაზრდა,   პერსონალის მიმართ ბსუ-ს მოთხოვნების დაკმაყოფილებაში ხელშეწყობა, პერსონალის პროფესიული სრულყოფის ხელშეწყობა</t>
  </si>
  <si>
    <t>საერთო ჯამი</t>
  </si>
  <si>
    <t xml:space="preserve">პროექტი ,,ნანო სტრუქტურების ელექტრული და ოპტიკური თვისებების გამოკვლევა ეფექტური გარემოს მეთოდების გამოყენებით" - ხელმძღვანელი ო. ნაკაშიძე (ზუსტ მეცნიერებათა და განათლების ფაკულტეტი) 
</t>
  </si>
  <si>
    <t>13.4.</t>
  </si>
  <si>
    <t>კრებული გამოცემა</t>
  </si>
  <si>
    <t>სამეცნიერო პუბლიკაციის გამოცემა (სტატიის გამოქვეყნება)</t>
  </si>
  <si>
    <t xml:space="preserve">პროექტი ,,ხუცუბნის უძველეს მონადირე-შემგროვებელთა საცხოვრებელი გარემო და მათი მობილურობა ადრე ჰოლოცენის  ხანაში (ძვ.წ. X- VII ათ.)“, ხელმძღვანელი გ. ჩხატარაშვილი (ბსუ-ს მოწვეული უფროსი მასწავლებელი) </t>
  </si>
  <si>
    <t>წარმომადგენლობითი ხარჯი (თანადაფინანსება) - საერთაშორისო სამეცნიერო კონფერენციის - ,,იაპონია-ხმელთაშუა ზღვის ქვეყნების მე-12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ნანომასალებში"/JAPMED`12 ფარგლებში</t>
  </si>
  <si>
    <t>ლაბორატორიული აღჭურვილობა - ,,ქრომატოგრაფიული სვეტი UPLC C18, HSS T3”, №FR-22-4236 საგრანტო ხელშეკრულების ფარგლებში თანადაფინანსება</t>
  </si>
  <si>
    <t>მცენარეული ნედლეულისა და გადამუშავების ანარჩენების ვალორიზაციის ინოვაციური ტექნოლოგიების შემუშავება</t>
  </si>
  <si>
    <t>შემუშავებული მეთოდი</t>
  </si>
  <si>
    <t>ბსუ-ს სამეცნიერო პერსონალის საქმიანობის ხარისხის ამაღლება</t>
  </si>
  <si>
    <t>კონფერენციის მონაწილეებს შორის ინფორმაციის გაცვლა, გამოცდილების, ახალი იდეებისა და გამოგონებების გაზიარება გამოყენებით ელექტრომაგნეტიზმში, ახალი მასალების კვლევაში</t>
  </si>
  <si>
    <t>სტუდენტებისათვის ევროპული განათლების და გამოცდილების გაზიარება</t>
  </si>
  <si>
    <t>სტუდენტთა ჩართულობა</t>
  </si>
  <si>
    <t xml:space="preserve">შტატგარეშე მომუშავეთა ანაზღაურება - უცხოელი ექსპერტების, პროფესორ-მასწავლებელების მოწვევა ჰონორარით მასტერკლასებისა და ლექციების ჩატარების მიზნით </t>
  </si>
  <si>
    <t>შრომის ანაზღაურება (შტატგარეშე საათობრივი ანაზღაურება, შტატგარეშე თანამშრომელთა ხელფასი)</t>
  </si>
  <si>
    <t>იანვარი</t>
  </si>
  <si>
    <t>თებერვალი</t>
  </si>
  <si>
    <t>მარტი</t>
  </si>
  <si>
    <t>მიღებული შედეგი</t>
  </si>
  <si>
    <t>პერსონალის მიერ განხორციელებული საქმიანობა უზრუნველყოფილია შრომის ანაზღაურებით</t>
  </si>
  <si>
    <t>საკასო ხარჯი - 01.01.2023-31.03.2023</t>
  </si>
  <si>
    <t>შეძენილია პროქტით გათვალისწინებული არგონის ბალონი</t>
  </si>
  <si>
    <t>სამეცნიერო კონფერენციიებში მონაწილეობის სტიმულირება</t>
  </si>
  <si>
    <t>ანაზღაურებულია მივლინების ხარჯი</t>
  </si>
  <si>
    <t>პერსონალის მიერ განხორციელებული საქმიანობა უზრუნველყოფილია შრომის ანაზღაურებით დაფინანსების წყაროების მიხედვით</t>
  </si>
  <si>
    <t>გაწეულია მივლინების ხარჯი</t>
  </si>
  <si>
    <t>საკასო ხარჯი - 01.04.2023-30.06.2023</t>
  </si>
  <si>
    <t>აპრილი</t>
  </si>
  <si>
    <t>მაისი</t>
  </si>
  <si>
    <t>ივნისი</t>
  </si>
  <si>
    <t>საკასო ხარჯი - II კვარტალი</t>
  </si>
  <si>
    <t>საკასო ხარჯი - I კვარტალი</t>
  </si>
  <si>
    <t>გრანტი</t>
  </si>
  <si>
    <t xml:space="preserve">ფაკულტეტის ადმინისტრაციული  მხარდაჭერა 
(ბეჭდვითი და საგამომცემლო მომსახურება, ღონისძიებების ორგანიზება, სტომატოლოგიური და ლაბორატორიული დანადგარების შეკეთება -  ტექნიკური შემოწმება, საუნივერისტეტო ბაზები კლინიკური სწავლებისთვის (ფართის იჯარა), საკონფერენციო დარბაზის დაქირავება საქართველოს მე-5 საერთაშორისო კონფერენციისათვის  ანესთეზიოლოგიასა და ინტენსიურ თერაპიაში, დოზიმეტრის მოსაკრებელი (დენტალური რენტგენოდიაგნოსტიკური
 დანადგარების ხარისხის კონტროლის
 ჩატარება), ნაბეჭდი წიგნები (ლიტერატურა), ბროშურები და საინფორმაციო ფურცლები, ქიმიური და ლაბორატორიული რეაქტივები, ლაბორატორიული ჭურჭელი, აქსესუარები და სახარჯი მასალები,  სამედიცინო მოწყობილობები (მცირეფასიანი) და სამედიცინო სახარჯი მასალები,  სტომატოლოგიური სახარჯი მასალები, ფარმაცევტული პროდუქტები, სამედიცინო მულაჟები, ქსოვილის ნივთები) </t>
  </si>
  <si>
    <t>წარმომადგენლობითი ხარჯი (კვება), თანადაფინანსება - ქართული ლიტერატურისა და ლიტერატურული პროცესის კვლევის სეზონური სკოლა: ,,ქართული ლიტერატურა თანამედროვეობის პარადიგმაში“</t>
  </si>
  <si>
    <t>ჰუმანიტარულ მეცნიერებათა ფაკულტეტის სტუდენტების კვლევითი გამოცდილების განვითარება, ფილოლოგიური კომპეტენციების ზრდა და ჩამოყალიბება, აკადემიური აზროვნების განვითარება და მიმდინარე ლიტერატურული პროცესის კვლევის საქმეში საუნივერსიტეტო როლის გაზრდა. პროფესორ-მასწავლებელთა, სტუდენტთა და მწერალთა კოლაბორაცია ქართული ლიტერატურისა და ლიტერატურული პროცესის აკადემიურ სივრცეში კვლევისათვის</t>
  </si>
  <si>
    <t>სეზონური სკოლის მონაწილეთა რაოდენობა</t>
  </si>
  <si>
    <t>წარმომადგენლობითი ხარჯი (სასტუმრო, კვება, ავიაბილეთები) - აჭარის არ განათლების, კულტურისა და სპორტის სამინისტროს მიზნობრივი დაფინანსება -  ,,ქართველოლოგია ციფრულ ეპოქაში (მეთოდები, ტექნოლოგიები, რესურსები)”, სეზონური სკოლა</t>
  </si>
  <si>
    <t>დიგიტალური ქართველოლოგიის ჩამოყალიბების ისტორიის, არსისა და საფუძვლების, ქართული ენის ანალიზისა და სინთეზის პროგრამების, კომპიუტერული ლექსიკოგრაფიის პრინციპებსა და მეთოდების გაცნობა. ქართული ენისათვის შექმნილი ტექნოლოგიების გაცნობასა და მათი გამოყენების უნარ-ჩვევების შეძენა.   სხვადასხვა საფეხურის სტუდენტებისათვის  დიგიტალური ჰუმანიტარიის მეთოდების, ტექნოლოგიებისა და რესურსების ათვისებაში, ხოლო უფროსკლასელებს – პროფესიულ ორიენტირებაში დახმარება</t>
  </si>
  <si>
    <t>ბეჭდვითი მომსხურება - აჭარის არ განათლების, კულტურისა და სპორტის სამინისტროს მიზნობრივი დაფინანსება -  ,,ქართველოლოგია ციფრულ ეპოქაში (მეთოდები, ტექნოლოგიები, რესურსები)”, სეზონური სკოლა</t>
  </si>
  <si>
    <t>შეძენილი ბრენდირებული ნივთები - ბანერი და პროგრამა სეზონური სკოლის მონაწილეებისათვის</t>
  </si>
  <si>
    <t>მომხსენებელთა ჰონორარი - აჭარის არ განათლების, კულტურისა და სპორტის სამინისტროს მიზნობრივი დაფინანსება -  ,,ქართველოლოგია ციფრულ ეპოქაში (მეთოდები, ტექნოლოგიები, რესურსები)”, სეზონური სკოლა</t>
  </si>
  <si>
    <t>მომხსენებელთა უზრუნველყოფა ჰონორარით</t>
  </si>
  <si>
    <t>ორგანიზატორთა ჰონორარი - აჭარის არ განათლების, კულტურისა და სპორტის სამინისტროს მიზნობრივი დაფინანსება -  ,,ქართველოლოგია ციფრულ ეპოქაში (მეთოდები, ტექნოლოგიები, რესურსები)”, სეზონური სკოლა</t>
  </si>
  <si>
    <t>ორგანიზატორთა უზრუნველყოფა ჰონორარით</t>
  </si>
  <si>
    <t>წარმომადგენლობითი ხარჯი - (სასტუმრო) აჭარის არ განათლების, კულტურისა და სპორტის სამინისტროს მიზნობრივი დაფინანსება - ქართული ლიტერატურისა და ლიტერატურული პროცესის კვლევის სეზონური სკოლა: ,,ქართული ლიტერატურა თანამედროვეობის პარადიგმაში“</t>
  </si>
  <si>
    <t>ბეჭდვითი მომსახურება - აჭარის არ განათლების, კულტურისა და სპორტის სამინისტროს მიზნობრივი დაფინანსება - ქართული ლიტერატურისა და ლიტერატურული პროცესის კვლევის სეზონური სკოლა: ,,ქართული ლიტერატურა თანამედროვეობის პარადიგმაში“</t>
  </si>
  <si>
    <t>შეძენილი ბრენდირებული ნივთები სეზონური სკოლის მონაწილეებისათვის</t>
  </si>
  <si>
    <t>მომხსენებელთ ჰონორარი - აჭარის არ განათლების, კულტურისა და სპორტის სამინისტროს მიზნობრივი დაფინანსება - ქართული ლიტერატურისა და ლიტერატურული პროცესის კვლევის სეზონური სკოლა: ,,ქართული ლიტერატურა თანამედროვეობის პარადიგმაში“</t>
  </si>
  <si>
    <t>ორგანიზატორთა ჰონორარი - აჭარის არ განათლების, კულტურისა და სპორტის სამინისტროს მიზნობრივი დაფინანსება - ქართული ლიტერატურისა და ლიტერატურული პროცესის კვლევის სეზონური სკოლა: ,,ქართული ლიტერატურა თანამედროვეობის პარადიგმაში“</t>
  </si>
  <si>
    <t xml:space="preserve">წარმომადგენლობითი ხარჯი (კვების მომსახურება) -  საქართველოს  განათლებისა და მეცნიერების სამინისტროს  დაფინანსება - საერთაშორისო კონფერენცია ,,ადრეული განათლება და ზრუნვა“ </t>
  </si>
  <si>
    <t xml:space="preserve"> აკადემიური დისკუსიისა და ცოდნის გაზიარების ხელშეწყობა
ადრეული განათლებისა და ზრუნვის ხარისხის, წვდომისა და ინკლუზიის საკითხებზე</t>
  </si>
  <si>
    <t>კონფერენციის მონაწილეთა რაოდენობა</t>
  </si>
  <si>
    <t xml:space="preserve">ბეჭდვითი მომსახურება (ბანერი, სასცენო ბანერი და როლაპი)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,,ადრეული განათლება და ზრუნვა“ </t>
  </si>
  <si>
    <t>შეძენილი ბრენდირებული ნივთები კონფერენციისთვის</t>
  </si>
  <si>
    <t>ჰონორარი - იაპონიის საერთაშორისო თნამშრომლობის სააგენტოს (JICA) დაფინანსება, ვორკშოპი</t>
  </si>
  <si>
    <t>ტრენერთა უზრუნველყოფა ჰონორარით</t>
  </si>
  <si>
    <t>წარმომადგენლობითი ხარჯი (სასტუმრო, კვება, ავიაბილეთები) - აჭარის არ განათლების, კულტურისა და სპორტის სამინისტროს მიზნობრივი დაფინანსება - ,,იაპონია-ხმელთაშუა ზღვის ქვეყნების XII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 მასალებში”, კონფერენცია</t>
  </si>
  <si>
    <t>მონაწილეთა გამოცდილებისა და ცოდნის ერთმანეთისთვის გაზიარება, ახალი იდეების ურთიერთგაცვლა, საერთაშორისო თანამშრომლობის გაღრმავება.  მსოფლიოს სხვადასხვა ქვეყნის უნივერსიტეტებიდან და კვლევითი ცენტრებიდან დარგის სპეციალისტების კოლაბორაცია</t>
  </si>
  <si>
    <t>კონფერენციის მასალების ბეჭდვა და განთავსება https://openjournals.ge პლატფორმაზე  - აჭარის არ განათლების, კულტურისა და სპორტის სამინისტროს მიზნობრივი დაფინანსება - ,,იაპონია-ხმელთაშუა ზღვის ქვეყნების XII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 მასალებში”, კონფერენცია</t>
  </si>
  <si>
    <t xml:space="preserve">დაბეჭდილი და პლათფორმაზე განთავსებული კონფერენციის მასალები </t>
  </si>
  <si>
    <t>ღირსშესანიშნაობების გაცნობა (საექსკურსიო მომსახურება)  - აჭარის არ განათლების, კულტურისა და სპორტის სამინისტროს მიზნობრივი დაფინანსება - ,,იაპონია-ხმელთაშუა ზღვის ქვეყნების XII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 მასალებში”, კონფერენცია</t>
  </si>
  <si>
    <t xml:space="preserve">გაცნობილი ღირსშესანიშნაობები </t>
  </si>
  <si>
    <t>ორგანიზატორთა ჰონორარი - აჭარის არ განათლების, კულტურისა და სპორტის სამინისტროს მიზნობრივი დაფინანსება - ,,იაპონია-ხმელთაშუა ზღვის ქვეყნების XII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 მასალებში”, კონფერენცია</t>
  </si>
  <si>
    <t xml:space="preserve">წარმომადგენლობითი ხარჯი (სასტუმრო) - აჭარის არ განათლების, კულტურისა და სპორტის სამინისტროს მიზნობრივი დაფინანსება  - ,,საქართველოს მათემატიკოსთა კავშირის XIII საერთაშორისო კონფერენცია”  </t>
  </si>
  <si>
    <t>მსოფლიოს 20-ზე მეტი ქვეყნის  წარმომადგენელი ცნობილი მეცნიერის მონაწილეობით უახლესი მიღწევების შესახებ ინფორმაციის ურთიერთგაცვლა საერთაშორისო კონფერენციის ფარგლებში. თანამშრომლობის გაღრმავება უცხოელ კოლეგებთან და მათემატიკური მეცნიერებების პოპულარიზაცია</t>
  </si>
  <si>
    <t xml:space="preserve">წარმომადგენლობითი ხარჯი (კვება) - თანადაფინანსება - ,,იურიდიული განათლების წარსული და მომავალი პერსპექტივები”, კონფერენციის ფარგლებში  </t>
  </si>
  <si>
    <t xml:space="preserve">წარმომადგენლობითი ხარჯი (სასტუმრო, კვება, ავიაბილეთები) აჭარის არ განათლების, კულტურისა და სპორტის სამინისტროს მიზნობრივი დაფინანსება ,,იურიდიული განათლების წარსული და მომავალი პერსპექტივები”, კონფერენცია  </t>
  </si>
  <si>
    <t xml:space="preserve">ფასიანი საჩუქრები - აჭარის არ განათლების, კულტურისა და სპორტის სამინისტროს მიზნობრივი დაფინანსება ,,იურიდიული განათლების წარსული და მომავალი პერსპექტივები”, კონფერენცია  </t>
  </si>
  <si>
    <t xml:space="preserve">ორგანიზატორთა ჰონორარი - აჭარის არ განათლების, კულტურისა და სპორტის სამინისტროს მიზნობრივი დაფინანსება ,,იურიდიული განათლების წარსული და მომავალი პერსპექტივები”, კონფერენცია  </t>
  </si>
  <si>
    <t>სასწავლო გეგმით გათვალისწინებული  კომპონენტის შესრულება</t>
  </si>
  <si>
    <t>საერთაშორისო სამეცნიერო ღონისძიებაში მონაწილეობა</t>
  </si>
  <si>
    <t xml:space="preserve">ანაზღაურებულია  დასაქმებული პირების სამივლინებო ხარჯები </t>
  </si>
  <si>
    <t>კონფერენციის ფარგლებში მოწვეული  სტუმრებისთვის შეძენილია კვების მომსახურება</t>
  </si>
  <si>
    <t>შეძენილია ფასიანი საჩუქრები (ბრენდირებული ბლოკნოტი, კალამი, ჩანთა, ფლეშ მეხსიერება, პოვერ ბანკი) კონფერენციის ფარგლებში</t>
  </si>
  <si>
    <t>განხორციელდა ფაკულტეტის ტექნიკური მხარდაჭერა, კერძოდ, შეძენილია კომპიუტერული და საყოფაცხოვრებო (წყლის ელ. გამაცხელებელი) ტექნიკა</t>
  </si>
  <si>
    <t xml:space="preserve">დაფინანსდა 73  სტუდენტის საველე პრაქტიკა ტაო-კლარჯეთში და 56 სტუდენტის საწარმოო პრაქტიკა  გერმანიის ტურიზმის ინდუსტრიის ორგანიზაციებში  </t>
  </si>
  <si>
    <t>პროექტი -„ჭურიის ტორფნარში მძიმე მეტალების დაგროვების ბუნება შრეების მიხედვით“- ხელმძღვანელი ნ. ტეტემაძე (ფიტოპათოლოგიებისა და ბიომრავალფეროვნების ინსტიტუტი)</t>
  </si>
  <si>
    <t>პროექტში დასაქმებული პირები  უზრუნველყოფილია შრომის ანაზღაურებით</t>
  </si>
  <si>
    <t>გაწეულია პროექტით გათვალისწინებული სამივლინებო ხარჯები</t>
  </si>
  <si>
    <t>შეძენილია პროექტით გათვალისწინებული ტექნიკა</t>
  </si>
  <si>
    <t>შეძენილია პროქტით გათვალისწინებული საშუალებები</t>
  </si>
  <si>
    <t>შეძენილია პროქტით გათვალისწინებული მასალები/საშუალებები</t>
  </si>
  <si>
    <t>შეძენილია პროქტით გათვალისწინებული კომპიუტერული პროგრამა</t>
  </si>
  <si>
    <t>პროექტით გათვალისწინებული აქტივობის შესრულება</t>
  </si>
  <si>
    <t>სტუდენტების სამეცნიერო კონფერენციაში მონაწილეობა</t>
  </si>
  <si>
    <t>ლ.ნ გუმილიოვის ევრაზიის ეროვნული უნივერსიტეტის ლექტორი, ტურიზმის დარგის ექსპერტი ნურსულთან ასემჟარი მოწვეული იქნა 18 საათიანი ტრენინგის ჩასატარებლად</t>
  </si>
  <si>
    <t>უზრუნველყოფილია ფაკულტეტის ტექნიკური მხარდაჭერა, კერძოდ, შეძენილია კომპიუტერული ტექნიკა და ოპტიკური (პროექტორი) ხელსაწყოები</t>
  </si>
  <si>
    <t>ფაკულტეტის ადმინისტრაციული  მხარდაჭერა
(პოლიგრაფიული, ბეჭდვითი და საგამომცემლო მომსახურება,  საკანონმდებლო მაცნეს ავტორიზებული მომხმარებელის საფასური, ლიტერატურა, კონფერენციის/ღონისძიების ორგანიზება  (კვება,სასტუმრო, ტრანსპორტი))</t>
  </si>
  <si>
    <t>საჯარო სამართლის განვითარების ხელშეწყობა საქართველოში, კვლევითი საქმიანობის პოპულარიზაციისა და საერთაშორის აკადემიური თანამშრომლობის გაძლიერება. მსოფლიოს ყველა წერტილიდან წამყვანი მკვლევარებისა და პროფესორების შეკრება  და საკუთარი ნაშრომების ერთმანეთთან გაზიარება</t>
  </si>
  <si>
    <t>შეძენილი ბრენდირებული საჩუქრები</t>
  </si>
  <si>
    <t>კონფერენციის მონაწილეები უზრუნველყოფილია ჰონორარით - 8 ვორკშოპის და მრგვალი მაგიდის ჩატარების ფარგლებში</t>
  </si>
  <si>
    <t>საკასო ხარჯი - 01.07.2023-30.09.2023</t>
  </si>
  <si>
    <t>ივლისი</t>
  </si>
  <si>
    <t>აგვისტო</t>
  </si>
  <si>
    <t>სექტემბერი</t>
  </si>
  <si>
    <t>საკასო ხარჯი - III კვარტალი</t>
  </si>
  <si>
    <t xml:space="preserve">წარმომადგენლობითი ხარჯი (კვება, სასტუმრო, მგზავრობა) - აჭარის არ განათლების, კულტურისა და სპორტის სამინისტროს მიზნობრივი დაფინანსება - საერთაშორისო სამეცნიერო კონფერენციის ეკონომიკისა და ბიზნესის გლობალური გამოწვევები და მდგრადი განვითარება-2023  </t>
  </si>
  <si>
    <t xml:space="preserve">ბეჭდვითი მომსახურება - აჭარის არ განათლების, კულტურისა და სპორტის სამინისტროს მიზნობრივი დაფინანსება - საერთაშორისო სამეცნიერო კონფერენციის ეკონომიკისა და ბიზნესის გლობალური გამოწვევები და მდგრადი განვითარება-2023  </t>
  </si>
  <si>
    <t xml:space="preserve">ორგანიზატორთა ჰონორარი - აჭარის არ განათლების, კულტურისა და სპორტის სამინისტროს მიზნობრივი დაფინანსება - საერთაშორისო სამეცნიერო კონფერენციის ეკონომიკისა და ბიზნესის გლობალური გამოწვევები და მდგრადი განვითარება-2023  </t>
  </si>
  <si>
    <t>ორგანიზატორთა ჰონორარი, თარგმნა, რედაქტირება  - უცხოენოვანი სამეცნიერო სახელმძღვანელო ლიტერატურის თარგმნა/ბეჭდვა- ,,Research Management: Europe and Beyond
 (კვლევის მენეჯმენტი: ევროპა და მის ფარგლებს გარეთ)"</t>
  </si>
  <si>
    <t>ეკონომიკისა და ბიზნესის დარგში არსებული ტენდენციების ანალიზი, უახლესი კვლევების ძირითადი მიმართულებების და მეთოდების გაცნობა, ერთობლივი კვლევების ჩატარება და სამეცნიერო პროექტების დაგეგმვა</t>
  </si>
  <si>
    <t>შეძენილი ბრენდირებული ნივთები   კონფერენციის მონაწილეებისათვის</t>
  </si>
  <si>
    <t>უცხოენოვანი სამეცნიერო სახელმძღვანელო ლიტერატურის ინგლისურიდან ქართულ ენაზე თარგმნა - ,,Research Management: Europe and Beyond (კვლევის მენეჯმენტი: ევროპა და მის ფარგლებს გარეთ)"</t>
  </si>
  <si>
    <t>თარგმნილი სახელმძღვანელო</t>
  </si>
  <si>
    <t>თარგმნა  - უცხოენოვანი სამეცნიერო სახელმძღვანელო ლიტერატურის თარგმნა/ბეჭდვა - Harrison's Principles of Internal Medicine (ჰარისონის შინაგანი მედიცინის პრინციპები)</t>
  </si>
  <si>
    <t>უცხოენოვანი სამეცნიერო სახელმძღვანელო ლიტერატურის ინგლისურიდან ქართულ ენაზე თარგმნა - Harrison's Principles of Internal Medicine
 (ჰარისონის შინაგანი მედიცინის პრინციპები)</t>
  </si>
  <si>
    <t xml:space="preserve">წარმომადგენლობითი ხარჯი (სასტუმრო, კვება) - აჭარის არ განათლების, კულტურისა და სპორტის სამინისტროს მიზნობრივი დაფინანსება, სეზონური სკოლა - „კვლევის მეთოდები განათლებაში“ </t>
  </si>
  <si>
    <t xml:space="preserve">ბეჭდვითი მომსახურება - აჭარის არ განათლების, კულტურისა და სპორტის სამინისტროს მიზნობრივი დაფინანსება, სეზონური სკოლა - „კვლევის მეთოდები განათლებაში“ </t>
  </si>
  <si>
    <t xml:space="preserve">ორგანიზატორთა ჰონორარი - აჭარის არ განათლების, კულტურისა და სპორტის სამინისტროს მიზნობრივი დაფინანსება, სეზონური სკოლა - „კვლევის მეთოდები განათლებაში“ </t>
  </si>
  <si>
    <t xml:space="preserve">მომხსენებელთა ჰონორარი - აჭარის არ განათლების, კულტურისა და სპორტის სამინისტროს მიზნობრივი დაფინანსება, სეზონური სკოლა - „კვლევის მეთოდები განათლებაში“ </t>
  </si>
  <si>
    <t>ორგანიზატორთა ჰონორარი, საავტორო უფლების მოპოვება, თარგმნა, რედაქტირება, კორექტირება  - უცხოენოვანი სამეცნიერო სახელმძღვანელო ლიტერატურის თარგმნა/ბეჭდვა - ,,How to Create Autonomous Learners: Teaching Metacognitive, Self-regulatory and Study Skills – A Practitioner’s Guide (როგორ ჩამოვაყალიბოთ დამოუკიდებელი მსწავლელები: მეტაკოგნიტური, თვით-რეგულატორული და სასწავლო უნარების სწავლება - პრაქტიკოსების გზამკვლევი)"</t>
  </si>
  <si>
    <t>ორგანიზატორთა ჰონორარი, თარგმნა, რედაქტირება, დაკაბადონება/დიზაინი/ბეჭდვა და მასთან დაკავშირებული სხვა ხარჯი   - უცხოენოვანი სამეცნიერო სახელმძღვანელო ლიტერატურის თარგმნა/ბეჭდვა - „Playing and Learning Outdoors. The Practical Guide and Sourcebook for Excellent in outdoor provision and practice with young children“</t>
  </si>
  <si>
    <t xml:space="preserve"> განათლების მიმართულების საგანმანათლებლო პროგრამების (მასწავლებლების მომზადების, განათლების ადმინისტრირებისა და მენეჯმენტის მიმართულებით და სხვ.) აკადემიური პერსონალისა და სტუდენტების  კვლევის მეთოდების კომპეტენციების ზრდის ხელშეწყობა</t>
  </si>
  <si>
    <t>ორგანიზატორის უზრუნველყოფა ჰონორარით</t>
  </si>
  <si>
    <t>უცხოენოვანი სამეცნიერო სახელმძღვანელო ლიტერატურის ინგლისურიდან ქართულ ენაზე თარგმნა - ,,How to Create Autonomous Learners: Teaching Metacognitive, Self-regulatory and Study Skills – A Practitioner’s Guide (როგორ ჩამოვაყალიბოთ დამოუკიდებელი მსწავლელები: მეტაკოგნიტური, თვით-რეგულატორული და სასწავლო უნარების სწავლება - პრაქტიკოსების გზამკვლევი)"</t>
  </si>
  <si>
    <t>უცხოენოვანი სამეცნიერო სახელმძღვანელო ლიტერატურის ბეჭდვა - „Playing and Learning Outdoors. The Practical Guide and Sourcebook for Excellent in outdoor provision and practice with young children“</t>
  </si>
  <si>
    <t>დაბეჭდილი სახელმძღვანელო</t>
  </si>
  <si>
    <t>დაფინანსდა 2 სტუდენტის საწარმოო პრაქტიკა პოლონეთში, ქვემო სილეზიის განვითარების საინვესტიციო კომპანიაში (ბსუ-ს ეკონომიკისა და ბიზნესის ფაკულტეტის ,,ფინანსები და საბანკო საქმის“ სამაგისტრო საგანმანათლებლო პროგრამის მე-2 სასწავლოს წლის
სტუდენტი და ,,ბიზნესის ადმინისტრირების” საბაკალავრო
საგანმანათლებლო პროგრამის მე-4 სასწავლო წლის სტუდენტი)</t>
  </si>
  <si>
    <t>შეძენილია დაფინანსების ხელშეკრულებით გათვალისწინებული საშუალებები</t>
  </si>
  <si>
    <t>შეძენილია დაფინანსების ხელშეკრულებით გათვალისწინებული მომსახურება</t>
  </si>
  <si>
    <t>გაწეულია წარმომადგენლობითი ხარჯი (თანადაფინანსება) - საერთაშორისო სამეცნიერო კონფერენციის - ,,იაპონია-ხმელთაშუა ზღვის ქვეყნების მე-12 საერთაშორისო ვორქშოფი გამოყენებითი  ელექტრომაგნიტური ინჟინერია მაგნიტურ, ზეგამტარულ, მრავალფუნქციურ და ნანომასალებში"/JAPMED`12 ფარგლებში</t>
  </si>
  <si>
    <t>გაწეულია პროქტით გათვალისწინებული ხარჯები</t>
  </si>
  <si>
    <t>კონფერენციის მონაწილეთათვის შეძენილია საექსკურსიო ბიუროს მომსახურება, ღირსშესანიშნაობების გაცნობის მიზნით</t>
  </si>
  <si>
    <t xml:space="preserve">გაწეულია წარმომადგენლობითი ხარჯი (კვება) ბსუ-ს თანადაფინანსებით  - ,,იურიდიული განათლების წარსული და მომავალი პერსპექტივები”, კონფერენციის ფარგლებში  </t>
  </si>
  <si>
    <t>უზრუნველყოფილია ფაკულტეტის ადმინისტრაციული მხარდაჭერა, კერძოდ 3  ავტორიზებული მომხმარებლის ერთწლიანი მომსახურების მიღება,  საკანონმდებლო და კანონქვემდებარე ნორმატიული აქტების პირველად და კონსოლიდირებულ ვერსიებთან შეუზღუდავი წვდომის მიზნით. განახლდა სასწავლო ლიტერატურა, გაწეულია პოლიგრაფიული მომსახურების ხარჯი და ფაკულტეტს კონფერენციის ფარგლებში დაფინანსდა წარმომადგენლობითი ხარჯი</t>
  </si>
  <si>
    <t>ინსტიტუტის ადმინისტრაციული მხარდაჭერის ფარგლებში გაწეულია მინერალური სასუქების და მცენარეთა დაცვის საშუალებების შეძენის ხარჯი, ასევე, შესყიდულია სამუშაო და სპეც ტანსაცმელი, სამუშაო იარაღები. ლაბორატორია უზრუნველყოფილია სამედიცინო სახარჯი მასალებით, ქიმიური და ლაბორატორიული რეაქტივებით</t>
  </si>
  <si>
    <t>შეძენილია სკანერი</t>
  </si>
  <si>
    <t xml:space="preserve">მზავრობა, სასტუმრო, კვება   - აჭარის არ განათლების, კულტურისა და სპორტის სამინისტროს მიზნობრივი დაფინანსება - კონფერენცია "შავიზღვისპირეთი ცივილიზაციათა გზაჯვარედინზე" </t>
  </si>
  <si>
    <t xml:space="preserve"> ბეჭდვითი მომსახურება  - აჭარის არ განათლების, კულტურისა და სპორტის სამინისტროს მიზნობრივი დაფინანსება - კონფერენცია "შავიზღვისპირეთი ცივილიზაციათა გზაჯვარედინზე" </t>
  </si>
  <si>
    <t xml:space="preserve"> კარვების დაქირავება, დამონტაჟება  - აჭარის არ განათლების, კულტურისა და სპორტის სამინისტროს მიზნობრივი დაფინანსება - კონფერენცია "შავიზღვისპირეთი ცივილიზაციათა გზაჯვარედინზე" </t>
  </si>
  <si>
    <t>ლაბორატორიული აღჭურვილობა, ჭურჭელი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 ,,შავი ზღვის ლურჯი პოლიტიკა"</t>
  </si>
  <si>
    <t>ელექტრომოწყობილობები/აპარატურა/ელექტროაქსესუარები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 ,,შავი ზღვის ლურჯი პოლიტიკა"</t>
  </si>
  <si>
    <t>სამეურნეო დანიშნულების საქონელი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 ,,შავი ზღვის ლურჯი პოლიტიკა"</t>
  </si>
  <si>
    <t>რეაქტივები და სახარჯი მასალები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 ,,შავი ზღვის ლურჯი პოლიტიკა"</t>
  </si>
  <si>
    <t>ბეჭდვა და მასთან დაკავშირებული მომსახურებები  - საქართველოს განათლებისა და მეცნიერების სამინისტროს  მიზნობრივი დაფინანსება - საერთაშორისო კონფერენცია - ,,შავი ზღვის ლურჯი პოლიტიკა"</t>
  </si>
  <si>
    <t>სხვადასხვა სამეცნიერო დისციპლინებში შავიზღვისპირეთის რეგიონის ქვეყნებში განხორციელებული უახლესი კვლევების წარმოჩენა და მათი გაზიარება საერთაშორისო სამეცნიერო საზოგადოებისათვის</t>
  </si>
  <si>
    <t>დაქირავებული საშუალებები</t>
  </si>
  <si>
    <t xml:space="preserve">სამეცნიერო კვლევებისა და ინოვაციების პოპულარიზაცია, მკვლევართა მიღწევების გაცნობა ფართო საზოგადოებისათვის,  საერთაშორისო თანამშრომლობის გაღრმავება, მკვლევართა მოტივაციის ზრდა </t>
  </si>
  <si>
    <t>გაწეულია პროექტით გათვალისწინებული ხარჯები</t>
  </si>
  <si>
    <t>შეძენილია პროქტით გათვალისწინებული ლიტერატურა</t>
  </si>
  <si>
    <t>შეძენილია პროქტით გათვალისწინებული ტექნიკა</t>
  </si>
  <si>
    <t>გამოქვეყნებული სტატია</t>
  </si>
  <si>
    <t>საერთაშორისო კონფერენციაში მონაწილეობის სტიმულირება</t>
  </si>
  <si>
    <t>საკასო ხარჯი - IV კვარტალი</t>
  </si>
  <si>
    <t>ოქტომბერი</t>
  </si>
  <si>
    <t>ნოემბერი</t>
  </si>
  <si>
    <t>დეკემბერი</t>
  </si>
  <si>
    <t>საკასო ხარჯი - 01.10.2023-31.12.2023</t>
  </si>
  <si>
    <t>უზრუნველყოფილია ფაკულტეტის ტექნიკური მხარდაჭერა, კერძოდ: ანაზღაურებულია კომპიუტერული ტექნიკის (სტანდარტული ლეპტოპი და დექსტოპი) და საოფისე ავეჯის შეძენის ხარჯი</t>
  </si>
  <si>
    <t>უზრუნველყოფილია ფაკულტეტის ადმინისტრაციული მხარდაჭერა, კერძოდ: ანაზღაურებულია პოლიგრაფიული მომსახურების ხარჯი, შეძენილია სასწავლო ლიტერატურა, უცხოენოვანი სამეცნიერო სახელმძღვანელო ლიტერატურის თარგმნის/ბეჭდვის მიზნით, მოპოვებულია საავტორო უფლება უცხოური კომპანიისგან (,,ELSEVIER'')</t>
  </si>
  <si>
    <t>პროექტში დასაქმებული პირები უზრუნველყოფილია შრომის ანაზღაურებით</t>
  </si>
  <si>
    <t>პროექტში დასაქმებული პირები უზრუნველყოფილია შრომის ანაზღაურებით,  უცხოენოვანი სამეცნიერო სახელმძღვანელო ლიტერატურის თარგმნა/ბეჭდვის მიზნით შესრულებულია რედაქტირების და მთარგმნელობითი მომსახურებები</t>
  </si>
  <si>
    <t>გაწეულია პროექტით გათვალისწინებული წარმომადგენლობითი ხარჯები, კერძოდ, ავიაბულეთების შეძენის ხარჯი, სასტუმროს და კვებითი მომსახურება</t>
  </si>
  <si>
    <t>უზრუნველყოფილია ფაკულტეტის ადმინისტრაციული მხარდაჭერა, კერძოდ, ანაზღაურებულია პოლიგრაფიული მომსახურების და კლინიკური ბაზების მომსახურების ღირებულება. ფაკულტეტი უზრუნველყოფილი სასწავლო ლიტერატურითა და ქიმიური/ლაბორატორიული რეაქტივებით, სამედიცინო სახარჯი მასალებით  და სხვადასხვა ფარმაცევტული პროდუქტებით. შეძენილია სალაშქრო ნივთები (კარავი, საძილე ტომარა, პარალონი), პრაქტიკული სწავლებისთვის მიზნით აღიჭურვა ლაბორატორია (შეძენილია მცირეფასიანი ლაბ. მოწყობილობები და  ჭურჭელი), შეძენილია სამედიცინო მოწყობილობები, დაიბეჭდა სასწავლო სახელმძღვანელო</t>
  </si>
  <si>
    <t>უზრუნველყოფილია ფაკულტეტის ტექნიკური მხარდაჭერა, კერძოდ, სასწავლო და კვლევითი პროცესების უზრუნველყოფის მიზნით განხორციელდა ლაბორატორიის აღჭურვა სპეციალური  დანიშნულების ლაბ. მოწყობილობებით და ხელსაწყოებით, შეძენილია სამედიცინო მოწყობილობები, განახლდა კომპიუტერული ტექნიკა, საოფისე ავეჯი. შეძენილი იქნა ე.წ. ჭკვიანი დაფა,  კონდიციონერი. ასევე,, ფაკულტეტის ლაბორატორია აღიჭურვა სხვადასხვა საზომი და საკონტროლო ხელსაწყოებით, შეძენილია GPS-ნავიგატორი</t>
  </si>
  <si>
    <r>
      <rPr>
        <b/>
        <i/>
        <sz val="13"/>
        <rFont val="Sylfaen"/>
        <family val="1"/>
      </rPr>
      <t>ქვეპროგრამის აღწერა</t>
    </r>
    <r>
      <rPr>
        <b/>
        <sz val="13"/>
        <rFont val="Sylfaen"/>
        <family val="1"/>
      </rPr>
      <t xml:space="preserve"> - ფაკულტეტი უზრუნველყოფს შემდეგი საგანმანათლებლო პროგრამების განხორციელებას: საბაკალავრო - ბიზნესის ადმინისტრირება, ეკონომიკა, სამაგისტრო - ბიზნესის ადმინისტრირება, ეკონომიკა, ფინანსები და საბანკო საქმე, სადოქტორო -  ბიზნესის ადმინისტრირება.  ხორციელდება არსებული პროგრამების სრულყოფა, ასევე, ახალი საგანმანათლებლო პროგრამების შემუშავება. პერსონალი მონაწილეობს მეცნიერულ კვლევებში, რომლის შედეგებიც ქვეყნდება რეიტინგულ სამეცნიერო ჟურნალებში, საკონფერენციო მასალებში. ფაკულტეტი აქტიურად თანამშრომლობს საზღვარგარეთის ქვეყნების უმაღლეს სასწავლებლებთან და მონაწილეობს ერთობლივ ღონისძიებებში.</t>
    </r>
  </si>
  <si>
    <t xml:space="preserve">უზრუნველყოფილია ფაკულტეტის ადმინისტრაციული მხარდაჭერა, კერძოდ, ანაზღაურებულია პოლიგრაფიული მომსახურების ღირებულება, განახლდა სასწავლო ლიტერატურა. საერთაშორისო სამეცნიერო ჟურნალი „აღმოსავლეთმცოდნეობის მაცნე“ განთავსდა ცენტრალური და აღმოსავლეთ ევროპის ონლაინ ბიბლიოთეკის - Central and Eastern European Online Library (GEEOL) ბაზაში, ასევე, ფაკულტეტის საერთაშორისო სამეცნიერო კვლევითი ჟურნალისთვის შესყიდულ იქნას პლატფორმა OJS-სისტემაში, დაიბეჭდა სასწავლო სახელმძღვანელოები </t>
  </si>
  <si>
    <t>უზრუნველყოფილია ფაკულტეტის ტექნიკური მხარდაჭერა, კერძოდ, შეძენილია კომპიუტერული ტექნიკა და ავეჯი (მათ შორის საექსპოზიციო კარადა)</t>
  </si>
  <si>
    <t>უზრუნველყოფილია ფაკულტეტის ადმინისტრაციული მხარდაჭერა, კერძოდ, ერთი ავტორიზებული მომხმარებლის ერთწლიანი მომსახურების მიღება,  საკანონმდებლო და კანონქვემდებარე ნორმატიული აქტების პირველად და კონსოლიდირებულ ვერსიებთან შეუზღუდავი წვდომის მიზნით, განახლდა სასწავლო ლიტერატურა, გაწეულია პოლიგრაფიული მომსახურების ხარჯი</t>
  </si>
  <si>
    <t>ფაკულტეტის ტექნიკური მხარდაჭერის ფარგლებში განხორციელდა: კომპიუტერული ტექნიკის შეძენა, განახლდა საოფისე ავეჯი</t>
  </si>
  <si>
    <t>ფაკულტეტის ადმინისტრაციული  მხარდაჭერის ფარგლებში შესყიდულია: საცდელი ნაკვეთისთვის სასუქები და შხამ ქიმიკატები, სამეურნეო დანიშნულების საქონელი - ხელით სამართავი ე.წ.  ტრაქტორი, შესაწამლი აპარატი და სხვა საუშაო ხელსაწყოები და ინსტრუმენტები. განახლდა სასწავლო ლიტერატურა</t>
  </si>
  <si>
    <t>განახლებულია კომპიუტერული ტექნიკა (პერსონალური კომპიუტერი, ლეპტოპი, პრინტერი), შეძენილია წყლის სათბობი ავზი, კონდიციონერები, შეძენილია ავეჯი</t>
  </si>
  <si>
    <t>უზრუნველყოფილია ცენტრის ადმინისტრაციული მხარდაჭერა, კერძოდ, გაწეულია პოლიგრაფიული მომსახურება და მატერიალური რესურსების ფარგლებში შეძენილია ელ. და სხვა სამეურნეო დანიშნულების საქონელი, სტუმრების მიღება-მომსაახურების მიზნით გაწეულია წარმომადგენლობითი ხარჯი, შეძენილია ფარმაცევტული ლაბორატორიის აღჭურვილობა და სასაჩუქრე პაკეტის კომპლექტი</t>
  </si>
  <si>
    <t>პერსონალის მიერ განხორციელებული საქმიანობა უზრუნველყოფილია შრომის ანაზღაურებით დაფინანსების წყაროების შესაბამისად                                                            (მათ შორის, სახელმწიფო მიზნობრივი დაფინანსება - პროფესიული მომზადების პროგრამების ,,მცენარეთა ინტეგრირებული დაცვა" და  ,,ლაბორატორიული ჯანმრთელობა და უსაფრთხოება" ფარგლებში)</t>
  </si>
  <si>
    <t>გაწეულია ლაბორატორიული აღჭურვილობის (PCR ლამინარული კაბინეტი, HEPA
ფილტრით, UV ნათურით, 2022 წ.) საკასო ხარჯი. განახლებულია კომიუტერული ტექნიკა (ნოუთბუქი, პრინტერი). შეძენილია სამეცნიერო/ლაბორატორიული აღჭურვილობა
(ნანო-სპექტროფოტომეტრი, მიკროსკოპები) და სამეცნიერო-კვლევითი საქმიანობის ხელშეწყობის მიზნით სხვა სამეცნიერო აპარატურა</t>
  </si>
  <si>
    <t>ადმინისტრაციული მხარდაჭერის ფარგლებში უზრუნველყოფილია მაღალი ხარსხის აზოტის აირის (ბალონით) შესყიდვა. გაწეულია სამუშაო ტანსაცმლის და ფეხსაცმლის შეძენის ხარჯი. კვლევითი საქმიანობა უზრუნველყოფილია საჭირო მასალებით, როგორიცაა:  მიკრობიოლოგიური, ლაბორატორიული და ქიმიური რეაქტივები და სამედიცინო სახარჯი მასალები.  შეძენილია სასუქი მინერალები. ინსტიტუტის ლაბორატორიისთვის ასევე, შეძენილია  უჟანგავი ფოლადის ქვაბები, პლასმასის ჭურჭელი, მინის ქილები, ანაზღაურებულია პოლიგრაფიული მომსახურების ხარჯი, ბროშურების დაბეჭდვვის მიზნით. კვლევითი საქმიანობა უზრუნველყოფილია სხვა საჭირო მასალებით (მათ შორის ლაბ. მინის ჭურჭელი)</t>
  </si>
  <si>
    <t>ლაბორატორიის აღჭურვა (სხვადასხვა ლაბორატორიული აღჭურვილობა და მოწყობილობები), განახლებული კომპიუტერული ტექნიკა</t>
  </si>
  <si>
    <t>პერსონალის მიერ განხორციელებული საქმიანობა უზრუნველყოფილია შრომის ანაზღაურებით, მათ შორის წიგნი-ფოტოალბომების - „ეთნოგრაფიული აჭარა“ და „აჭარა“ გამოცემის ფარგლებში გაწეული შრომის ანაზღაურება</t>
  </si>
  <si>
    <t xml:space="preserve">განახლებული წიგნადი ფონდი,  მონაცემთა ბაზების ონლაინ პლათფორმაში ასახული სამეცნიერო ჟურნალი. სამეცნიერო საქმიანობის ხელშეწყობის მიზნით გაწეულია საარქივო მომსაურების ხარჯი, გამოიცა სამეცნიერო ნაშრომები, მათ შორის მიზნობრივი დაფინანსების ფარგლებში გამოცემულია - წიგნი-ფოტოალბომი - „ეთნოგრაფიული აჭარა“ და „აჭარა“ </t>
  </si>
  <si>
    <t>შეძენილია პროქტით გათვალისწინებული ხელსაწყოები (ქსენონის ნათურა, კვ. ბლოკი, სელექც. გამაძლ, ვოლტმეტრი, ფოტოდიოდი, კვარცის ლინზები, სინქრონული ძრავა,   და დანადგარის სხვა დეტალები)</t>
  </si>
  <si>
    <t>გაწეულია სტატიის გამოქვეყნების ხარჯი</t>
  </si>
  <si>
    <t>შეძენილია პრესფორმის ტიპის აპარატი</t>
  </si>
  <si>
    <t>შეძენილია პროექტით გათვალისწინებული როლერი</t>
  </si>
  <si>
    <t>შეძენილია პროექტით გათვალისწინებული ავტომატური სწრაფი ტენიანობის ანალიზატორი</t>
  </si>
  <si>
    <t>გაწეულია პროექტით გათვალისწინებული ხარჯი</t>
  </si>
  <si>
    <t>გამოიცა მონოგრაფია</t>
  </si>
  <si>
    <t>გამოიცა კრებული</t>
  </si>
  <si>
    <t>შეძენილია პროქტით გათვალისწინებული რეაქტივები</t>
  </si>
  <si>
    <t>გაწეულია პროექტით გათვალისწინებულ ხარჯები</t>
  </si>
  <si>
    <t>შეძენილია პროექტით გათვალისწინებული რეაქტივები</t>
  </si>
  <si>
    <r>
      <rPr>
        <b/>
        <sz val="14"/>
        <color theme="1"/>
        <rFont val="Calibri"/>
        <family val="2"/>
      </rPr>
      <t xml:space="preserve">√ </t>
    </r>
    <r>
      <rPr>
        <b/>
        <sz val="14"/>
        <color theme="1"/>
        <rFont val="Sylfaen"/>
        <family val="2"/>
      </rPr>
      <t xml:space="preserve"> </t>
    </r>
    <r>
      <rPr>
        <b/>
        <sz val="14"/>
        <color theme="1"/>
        <rFont val="Sylfaen"/>
        <family val="2"/>
        <scheme val="minor"/>
      </rPr>
      <t>თანამედროვე სტანდარტების, მაღალი აკადემიური ხარისხის და დასაქმებაზე ორიენტირებული საგანმანათლებლო საქმიანობის განხორციელება; 
√  კონკურენტუნარიანი სპეციალისტების მომზადება; 
√ ღირებული, ფუნდამენტური და პრაქტიკული მნიშვნელობის კვლევების განხორციელება;
√  სწავლის, სწავლებისა და კვლევითი პროცესების ინტერნაციონალიზაცია;  
√ უნივერსიტეტის აკადემიური და სამეცნიერო პერსონალის მონაწილეობა აქტუალურ  პრობლემატიკაზე გამართულ საერთაშორისო ფორუმებში; 
√ უცხოენოვანი საგანმანათლებლო პროგრამების შექმნისა და განხორციელების სტიმულირება;  
√ დანახარჯების ეფექტიანობის გაზრდა და ხარჯვითი პროცესის გამჭვირვალეობა; 
√  მატერიალურ-ტექნიკური ბაზის გაუმჯობესება;
√ ავტორიზაცია/აკრედიტაციის სტანდარტების დაცვა.</t>
    </r>
  </si>
  <si>
    <r>
      <rPr>
        <b/>
        <i/>
        <sz val="13"/>
        <color theme="1"/>
        <rFont val="Sylfaen"/>
        <family val="1"/>
        <scheme val="minor"/>
      </rPr>
      <t>ქვეპროგრამის მიზანი</t>
    </r>
    <r>
      <rPr>
        <b/>
        <sz val="13"/>
        <color theme="1"/>
        <rFont val="Sylfaen"/>
        <family val="1"/>
        <scheme val="minor"/>
      </rPr>
      <t xml:space="preserve"> - მოქმედი საგანმანათლებლო პროგრამების მუდმივი განვითარების უზრუნველყოფა, ახალი საგანმანათლებლო პროგრამების შემუშავება, სამეცნიერო კვლევების გაუმჯობესება/ინტერნაციონალიზაცია, ინოვაციური მეთოდების დამკვიდრება სწავლება/სწავლისა და კვლევის მეთოდებში, საგანმანათლებლო პროგრამებით დაგეგმილი კომპეტენციების გამომუშავება/შეფასების მონიტორინგი, სახელმძღვანელოების შექმნა, თარგმნა და გამოცემა, პერსონალის კარიერული განვითარების ხელშეწყობა.</t>
    </r>
  </si>
  <si>
    <r>
      <rPr>
        <b/>
        <i/>
        <sz val="13"/>
        <color theme="1"/>
        <rFont val="Sylfaen"/>
        <family val="1"/>
        <scheme val="minor"/>
      </rPr>
      <t>ქვეპროგრამის აღწერა</t>
    </r>
    <r>
      <rPr>
        <b/>
        <sz val="13"/>
        <color theme="1"/>
        <rFont val="Sylfaen"/>
        <family val="1"/>
        <scheme val="minor"/>
      </rPr>
      <t xml:space="preserve"> - ფაკულტეტის მიერ ხორციელდება სამივე საფეხურის საგანმანათლებლო პროგრამები, მათ შორის: საბაკალავრო - კომპიუტერული მეცნიერება, მათემატიკა, ფიზიკა, სამაგისტრო - განათლების ადმინისტრირება, კომპიუტერული მეცნიერება, მათემატიკა, პროფესიული განათლება და ადამიანური რესურსების განვითარება, ფიზიკა, სადოქტორო - განათლების მეცნიერებები, გეომეტრია-ტოპოლოგია, ფიზიკა.  მიმდინარეობს მუშაობა სტუდენტის ინტერესებსა და კურსდამთავრებულთა  დასაქმებაზე ორიენტირებული საგანმანათლებლო პროგრამების შემუშავებაზე, ევროპაში აღიარებადი და ცნობადი აკადემიური ხარისხების სისტემის დაფუძნებაზე. ტექნოლოგიებისა და მეცნიერების განვითარების დინამიურად მზარდი ტემპი ახალი გამოწვევების წინაშე აყენებს პროგრამებს. ფაკულტეტი საინტერესოა აგრეთვე  დარგთაშორისი კავშირებისა და ინტერდისციპლინური მიდგომების თვალსაზრისითაც. ერთის მხრივ, ფიზიკის, მათემატიკისა და კომპიუტერული მეცნიერებების თანამედროვე ამოცანები საჭიროებენ მჭიდრო თანამშრომლობას, მეორეს მხრივ, ფაკულტეტის სტრუქტურა მოქნილია სწავლება-სწავლის პრობლემატიკის შესწავლისთვის როგორც სასკოლო, ისევე საუნივერსიტეტო დონეზე. </t>
    </r>
  </si>
  <si>
    <t xml:space="preserve">ფაკულტეტის ადმინისტრაციული  მხარდაჭერა (სასუქები და ნიტროგენული ნაერთები, სხვადასხვა სამეურნეო (მათ შორის სასოფლო-სამეურნე დანიშნულების ხელსაწყოები/მოწყობილობები) და სამშენებლო დანიშნულების საქონელი (სათბურის რეაბილიტაცია), სახაზავი დაფები, კედლის და დასადგამი დაფები, კონფერენციის ორგანიზება, ლიტერატურა) </t>
  </si>
  <si>
    <r>
      <rPr>
        <b/>
        <i/>
        <sz val="13"/>
        <color theme="1"/>
        <rFont val="Sylfaen"/>
        <family val="1"/>
        <scheme val="minor"/>
      </rPr>
      <t>ქვეპროგრამის მიზანი</t>
    </r>
    <r>
      <rPr>
        <b/>
        <sz val="13"/>
        <color theme="1"/>
        <rFont val="Sylfaen"/>
        <family val="1"/>
        <scheme val="minor"/>
      </rPr>
      <t xml:space="preserve"> - თანამედროვე მოთხოვნების შესატყვისი კომპეტენციის მქონე, ინჟინერიის და აგრარული მიმართულების, ასევე მიმართულებათაშორისი დარგების კონკურენტუნარიანი სპეციალისტების მომზადება, კონკრეტული ამოცანის დასმისა და მისი გადაწყვეტის უნარ-ჩვევებით, როგორც კლასიკური მეთოდებით, ასევე თანამედროვე კომპიუტერული ტექნოლოგიების გამოყენებით, ძირითად ტექნოლოგიებისა და გამოყენებული აპარატურა-დანადგარების ტიპების ცოდნით აღჭურვილი პრაქტიკულ საქმიანობაზე ორიენტირებული სპეციალისტი,   რომელიც იქნება მაღალი მოქალაქეობრივი შეგნებისა და აქტივობის, ჰუმანიზმის, დემოკრატიის პრინციპების მატარებელი თავისუფალი პიროვნება, ასევე  კომუნიკაციისა და  დინამიკურად ცვლად გარემოში ორიენტირების  უნარებით აღჭურვილი სპეციალისტი. მეცნიერების განვითარება;  ახალგაზრდა კადრების მოზიდვა და მათი პროფესიული ზრდისათვის ხელშეწყობა.
</t>
    </r>
  </si>
  <si>
    <r>
      <rPr>
        <b/>
        <i/>
        <sz val="13"/>
        <rFont val="Sylfaen"/>
        <family val="1"/>
        <scheme val="minor"/>
      </rPr>
      <t>ქვეპროგრამის აღწერა</t>
    </r>
    <r>
      <rPr>
        <b/>
        <sz val="13"/>
        <rFont val="Sylfaen"/>
        <family val="1"/>
        <scheme val="minor"/>
      </rPr>
      <t xml:space="preserve"> - ფაკულტეტზე ხორციელდება შემდეგი საგანმანათლებლო პროგრამები: საბაკალავრო - არქიტექტურა, მშენებლობა, ნავთობისა და გაზის მოპოვების, ტრანსპორტირებისა და შენახვის ტექნიკა და ტექნოლოგიები, ელექტრონიკა, ტელეკომუნიკაცია და ინტერნეტინჟინერია, აგრარული ტექნოლოგიები, სამაგისტრო - სამოქალაქო და სამრეწველო მშენებლობა, ნავთობისა და გაზის მოპოვების, ტრანსპორტირებისა და შენახვის  ტექნიკა და ტექნოლოგიები. მეცადინეობების ჩატარებისთვის გამოიყენება: მასალათა გამძელობისა და სამშენებლო კონსტრუქციების ლაბორატორია,  გრუნტების მექანიკისა ფუძე-საძირკვლების ლაბორატორია,  საშენი მასალების ლაბორატორია, • ციფრული ელექტრონიკის ლაბორატორია,  სატელეკომუნიკაციო სიგნალების ლაბორატორია,  ელექტროტექნიკისა და ელექტრული წრედების ლაბორატორია,  ნავთობისა და გაზის ლაბორატორია,  სახვითი ხელოვნების სტუდია,  ქანდაკების სტუდია, აგროქიმიისა და ნიადაგმცოდნეობის ლაბორატორია,  მცენარეთა დაცვის ლაბორატორია,  ქსოვილური კულტურის invitro ლაბორატორია,  მიწის ნაკვეთი (5,5 ჰა),  სათბური,  ფაკულტეტის კომპიუტერული კლასები,  ინოვაციების ცენტრი,  FABLAB-ის ლაბორატორია.</t>
    </r>
  </si>
  <si>
    <t xml:space="preserve">ცენტრის ადმინისტრაციული და ტექნიკური მხარდაჭერა (ტექნიკური აღჭურვილობა, ფარმაცევტული ლაბორატორიის აღჭურვილობა, პოლიგრაფიული, ბეჭდვითი მომსახურება, სერტიფიკატის ბეჭდვა, სასაჩუქრე პაკეტი, პროფესიული საგანმანათლებლო პროგრამების მატერიალური რესურსი და ნედლეული, რეკლამა, ღონისძიების ორგანიზება (სტუმრების მიღება-მომსახურება)) </t>
  </si>
  <si>
    <t>ადმინისტრაციული მხარდაჭერა (მცირეფასიანი ლაბორატორიული აღჭურვილობა და მასალები, ქიმიური და ლაბორატორიული რეაქტივები, სამედიცინო სახარჯი მასალები,  ფარმაცევტული პროდუქტები, ტექნიკის რემონტი, სახმელეთო და საზღვაო ტრანსპორტის მომსახურება, სასუქები და მცენარეთა დაცვის საშუალებები, სამეურნეო და სამშენებლო დანიშნულების მასალები/ხელსაწყოები, სამუშაო და სპეც. ტანსაცმელი/აქსესუარები და ფეხსაცმელი, საექსპედიციო ნივთები, საწვავ საპოხი მასალები)</t>
  </si>
  <si>
    <r>
      <rPr>
        <b/>
        <i/>
        <sz val="13"/>
        <color theme="1"/>
        <rFont val="Sylfaen"/>
        <family val="1"/>
      </rPr>
      <t>ქვეპროგრამის მიზანი</t>
    </r>
    <r>
      <rPr>
        <b/>
        <sz val="13"/>
        <color theme="1"/>
        <rFont val="Sylfaen"/>
        <family val="1"/>
      </rPr>
      <t xml:space="preserve"> - მცენარეთა ეკონომიურად მნიშვნელოვანი მავნებელ დაავადებათა მონიტორინგი, დიაგნოსტიკა და დაავადებათა გამომწვევი პათოგენების  შესწავლა; მარცვლოვანი კულტურების ეკონომიკურად მნიშვნელოვანი დაავადებების გამომწვევ პათოგენთა შიდაპოპულაციური მრავალფეროვნების შესწავლა კლასიკური და თანამედროვე ტექნოლოგიებით და მათი კონტროლის საშუალებების გამოცდა;  მცენარეთა ბიომრავალფეროვნების ცალკეული კომპონენტის შესწავლა, დაცვა, შენარჩუნება, გონივრული გამოყენება; კოლხეთის დაბლობისა და აჭარის სუბალპური ჭარბტენიანი ჰაბიტატების ინტეგრირებული ბიომრავალფეროვნების კონსერვაცია და გონივრული გამოყენება.</t>
    </r>
  </si>
  <si>
    <r>
      <rPr>
        <b/>
        <i/>
        <sz val="13"/>
        <color theme="1"/>
        <rFont val="Sylfaen"/>
        <family val="1"/>
      </rPr>
      <t>ქვეპროგრამის აღწერა</t>
    </r>
    <r>
      <rPr>
        <b/>
        <sz val="13"/>
        <color theme="1"/>
        <rFont val="Sylfaen"/>
        <family val="1"/>
      </rPr>
      <t xml:space="preserve"> - ქვეპროგრამის მიზნების მისაღწევად კვლევითი ინსტიტუტის თანამშრომლების მიერ განხორციელდება  ექსპედიციები, რომლის ფარგლებშიც მოახდენენ ნიმუშების შეგროვებას, დაავადებების გამომწვევ პათოგენთა იდენტიფიცირებას, თავისებურებათა შესწავლას,  პროფილაქტიკური და დამცავი ღონისძიებების შემუშავებას;  კვლევების შედეგად შესწავლილი იქნება აჭარაში ხეხილოვნების და ნარინჯოვანების არსებული გენოფონდის მდგომარეობა;  გამოვლინდება სამეურნეო და კომერციული თვალსაზრისით პერსპექტიული, იშვიათი, გაქრობის პირას მყოფი საუკეთესო ჯიშები. შეიქმნება მონაცემთა ბაზა. შემდგომი გამოყენებისა და  კონსერვაციის მიზნით მოეწყობა საკოლექციო ნაკვეთი. ელიტური სარგავი მასალის მიღების მიზნით შემუშავებული იქნება გამრავლების ახალი ტექნოლოგიები. რეგიონის შესაბამის სტრუქტურებთან ერთად შემუშავებული იქნება არგუმენტირებული, მეცნიერულად დასაბუთებული რეკომენდაციები აჭარაში ტრადიციული დარგების, მეხილეობის და მეციტრუსეობის  განვითარებისთვის. ჩატარდება აჭარის ადგილობრივი და ინტროდუცირებული ფლორის ზოგიერთი წარმომადგენლის კვლევა ბიოლოგიურად აქტიური ნივთიერებების შემცველობაზე, ქიმიურ შემადგენლობაზე, ბიოლოგიურ აქტიურობაზე, ზრდა-განვითარებაზე, გავრცელების არეალებისა და რესურსების დადგენაზე.  ჩატარებული კვლევების საფუძველზე აჭარის ადგილობრივი და ინტროდუცირებული ფლორიდან გამოვლინდება პერსპექტიული სახეობები სამედიცინო პრაქტიკაში გამოყენებისთვის შემდგომი შესწავლის მიზნით; დადგინდება მათი ზრდა-განვითარების თავისებურებანი, გავრცელების არეალები, ნედლეულის მარაგები, დამზადებისა და შრობის პირობები. მცირერესურსიანი ნედლეულის შემთხვევაში განისაზღვრება კულტივირების შესაძლებლობები. მოძიებული იქნება რეგიონისთვის ახალი მცენარეული სახეობები ამ მიმართულებით. მოეწყობა საკოლექციო ნაკვეთი. ჩატარდება რეგიონის ინვაზიური ფლორის კვლევა, შედარებული იქნება ადრე მოპოვებულ მასალებთან, გამოვლენილი იქნება ადგილობრივ ველურ  და კულტურულ ფლორასთან მიმართებაში განსაკუთრებით მავნე ახალი ინვაზიური სახეობები. ჩატარდება სამუშაოები რეგიონის ინვაზიური ფლორის  მონაცემთა ბაზის შექმნის მიზნით.    განხორციელდება მონაცემთა ბაზის შექმნა შავი ზღვის საქართველოს სანაპიროსა და კოლხეთის ბიომრავალფეროვნების შესახებ, რომელიც ხელმისაწვდომი იქნება გადაწყვეტილების მიმღებ პირთათვის და გარემოზე ზემოქმედების შეფასებისათვის. მოხდება  შავი ზღვის საქართველოს სანაპირო ჰაბიტატების, იხტიოფაუნისა და ძუძუმწოვრების მრავალფეროვნების შესწავლა, სახეობრივი იდენტიფიკაცია და კონსერვაციული სტატუსის განსაზღვრა, ძუძუმწოვრების სანაპირო მიგრაციების, გამორიყული დელფინებისა და თევზის ბაზრების კვლევა; თევზჭერის კომერციული და ეკონომიკურად მნიშვნელოვანი სახეობების მდგრადი გამოყენების მონიტორინგი და შეფასება. საზღვაო თევზჭერისა და მეთევზეობისადმი ეკოსისტემური მიდგომის დამკვიდრება, რომლის მიზანია პასუხისგებლიანი მეთევზეობისა და აქვაკულტურის განვითარება.</t>
    </r>
  </si>
  <si>
    <r>
      <rPr>
        <b/>
        <i/>
        <sz val="13"/>
        <color theme="1"/>
        <rFont val="Sylfaen"/>
        <family val="1"/>
      </rPr>
      <t>ქვეპროგრამის მიზანი</t>
    </r>
    <r>
      <rPr>
        <b/>
        <sz val="13"/>
        <color theme="1"/>
        <rFont val="Sylfaen"/>
        <family val="1"/>
      </rPr>
      <t xml:space="preserve"> - ქვეყნის აგრარული სექტორის სამეცნიერო-ტექნიკური პროგრესის ხელშეწყობა; მემბრანულ ტექნოლოგიაში ახალი მემბრანების, სორბციული მასალების, ტექნოლოგიების და დანადგარების შექმნა, გამოცდა და დანერგვა. მემბრანული  ტექნოლოგიების  კომპლექსური  გამოყენება თხევადი პროდუქტების დაყოფის,  გასუფთავებისა და ნარჩენების უტილიზაციის პროცესში; კვლევითი სამუშაოებისა და სასწავლო პროგრამების განხორციელებისათვის ტექნიკური და ტექნოლოგიური საშუალებებით უზრუნველყოფა; ინსტიტუტის ლაბორატორიების აკრედიტაციის უზრუნველყოფა; ადგილობრივი და ინტროდუცირებული მცენარეული  ნედლეულის ქიმიური ანალიზი და ბიოაქტიური პრეპარატების მომზადება.</t>
    </r>
  </si>
  <si>
    <r>
      <rPr>
        <b/>
        <i/>
        <sz val="13"/>
        <color theme="1"/>
        <rFont val="Sylfaen"/>
        <family val="1"/>
      </rPr>
      <t>ქვეპროგრამის აღწერა</t>
    </r>
    <r>
      <rPr>
        <b/>
        <sz val="13"/>
        <color theme="1"/>
        <rFont val="Sylfaen"/>
        <family val="1"/>
      </rPr>
      <t xml:space="preserve"> - ქვეპროგრამის ფარგლებში ხორციელდება:  მემბრანული და სორბციული ტექნოლოგიების  კომპლექსური  გამოყენებით  სასმელი, ბუნებრივი და ჩამდინარე წყლების დამუშავება-დაწმენდა; თხევადი პროდუქტების (ალკოჰოლური სასმელების, წვენების, სამკურნალო მცენარეების ექსტრაქტების) დაყოფა-გაკრიალება-კონცენტრირება–სტერილიზაცია; საკვები ნედლეულის ნარჩენების გადამუშავება მეორადი ნედლეულის სახით  უსაფრთხო წყალმომარაგების,  მაღალი ხარისხის  ეკოლოგიურად სუფთა პროდუქციის, ბიოაქტიური დანამატების წარმოების,  ღირებული კომპონენტების  რეკუპერაციის    მიზნით. აჭარაში არსებული ენდემური და ინტროდუცირებული მცენარეული ნედლულის (სუბტროპიკული და კონტინენტალური ხეხილოვანი კულტურები, ვაზი, ტყის ნაყოფის მომცემი და სამკურნალო მცენარეები) წარმოება-გადამუშავების და შენახვა-რეალიზაციის ეფექტიანი ტექნოლოგიების შემუშავება და დანერგვის ორგანიზება; სამეცნიერო პერსონალის და დარგის სპეციალისტების მომზადება - გადამზადებაში მონაწილეობის მიღება.
</t>
    </r>
  </si>
  <si>
    <t xml:space="preserve">ადმინისტრაციული მხარდაჭერა (პოლიგრაფიული და ბეჭდვითი მომსახურება,  ქიმიური, მიკრობიოლოგიური და ლაბორატორიული რეაქტივები, მცირეფასიანი ლაბორატორიული აღჭურვილობა და მასალები, სასუქები და მცენარეთა დაცვის საშუალებები, ბიოპრეპარატები, სასოფლო- სამეურნეო ნედლეული, აირები, აზოტი/არგონი, პროდუქციის ნიმუშების დამზადება,  ტექნიკის დიაგნოსტიკა და შეკეთება, სამუშაო ტანსაცმელი/აქსესუარები და ფეხსაცმელი,  სამედიცინო ტანსაცმელი და სახარჯი მასალები, სამეურნეო და სამშენებლო დანიშნულების მასალები/ხელსაწყოები, ავეჯის აქსესუარები) </t>
  </si>
  <si>
    <t>ადმინისტრაციული  მხარდაჭერა (პოლიგრაფიული, ბეჭდვითი და გამოცემასთან დაკავშირებული სხვა მომსახურებები, მთარგმნელობითი მომსახურება, არქივის მომსახურება, ლიტერატურა, სამეცნიერო ჟურნალის ასახვა სხვადასხვა მონაცემთა ბაზების ონლაინ პლათფორმაში)</t>
  </si>
  <si>
    <r>
      <rPr>
        <b/>
        <i/>
        <sz val="13"/>
        <rFont val="Sylfaen"/>
        <family val="1"/>
      </rPr>
      <t>ქვეპროგრამის მიზანი</t>
    </r>
    <r>
      <rPr>
        <b/>
        <sz val="13"/>
        <rFont val="Sylfaen"/>
        <family val="1"/>
      </rPr>
      <t xml:space="preserve"> - საერთაშორისო სტანდარტების შესაბამისი თანამედროვე დარგობრივი ან/და ინტერდისციპლინური კვლევების ჩატარების მხარდაჭერა; უნივერსიტეტის ახალგაზრდა მკვლევართა მოზიდვა და მათი სამეცნიერო პოტენციალის ზრდა, თანამედროვე კვლევების შედეგების გავრცელება.</t>
    </r>
  </si>
  <si>
    <r>
      <rPr>
        <b/>
        <i/>
        <sz val="13"/>
        <rFont val="Sylfaen"/>
        <family val="1"/>
      </rPr>
      <t>ქვეპროგრამის აღწერა</t>
    </r>
    <r>
      <rPr>
        <b/>
        <sz val="13"/>
        <rFont val="Sylfaen"/>
        <family val="1"/>
      </rPr>
      <t xml:space="preserve"> - წარმოდგენილი ქვეპროგრამის ფარგლებში ხორციელდება მიზნობრივი შიდა გრანტების  კონკურსში გამარჯვებული პროექტების დაფინანსება  გეგმა-გრაფიკებისა და  ხარჯთაღრიცხვების შესაბამისად.
 </t>
    </r>
  </si>
  <si>
    <r>
      <rPr>
        <b/>
        <i/>
        <sz val="13"/>
        <rFont val="Sylfaen"/>
        <family val="1"/>
      </rPr>
      <t>ქვეპროგრამის მიზანი</t>
    </r>
    <r>
      <rPr>
        <b/>
        <sz val="13"/>
        <rFont val="Sylfaen"/>
        <family val="1"/>
      </rPr>
      <t xml:space="preserve"> - ფაკულტეტის საგანმანათლებლო პროგრამების ფარგლებში შესაბამისი კომპეტენციის მქონე კონკურენტუნარიანი სპეციალისტების მომზადება, ახალი საგანმანათლებლო პროგრამების შემუშავება,  სამეცნიერო კვლევების განხორციელება, პერსონალის პროფესიული განვითარების ხელშეწყობა, სტუდენტზე ორიენტირებული სწავლა/სწავლების და შეფასების თანამედროვე მეთოდების განვითარება, სწავლების პროცესში ინფორმაციული ტექნოლოგიების დანერგვა და განვითარება, საქართველოსა და საზღვარგარეთის უნივერსიტეტების ეკონომიკური პროფილის ფაკულტეტებთან ურთიერთობების დამყარება გამოცდილების გაზიარების მიზნით.</t>
    </r>
  </si>
  <si>
    <t xml:space="preserve">ფაკულტეტის ადმინისტრაციული  მხარდაჭერა (პოლიგრაფიული, ბეჭდვითი, საგამომცემლო და მთარგმნელობითი მომსახურება, ვებ-გვერდის შექმნა და მასთან დაკავშირებული მომსახურებები (ელექტრონული სამეცნიერო ჟურნალის დაფუძნება), სასწავლო პროგრამული უზრუნველყოფა, სასწავლო ლიტერატურის შეძენა) </t>
  </si>
  <si>
    <r>
      <rPr>
        <b/>
        <i/>
        <sz val="13"/>
        <rFont val="Sylfaen"/>
        <family val="1"/>
      </rPr>
      <t>ქვეპროგრამის მიზანი</t>
    </r>
    <r>
      <rPr>
        <b/>
        <sz val="13"/>
        <rFont val="Sylfaen"/>
        <family val="1"/>
      </rPr>
      <t xml:space="preserve"> - უმაღლესი განათლების სამივე საფეხურის ჯამში 17 საგანმანათლებლო პროგრამის (მათ შორის ინგლისურენოვანი) განხორციელება, მათ შორის გამოიყოფა შემდეგი მიმართულებები: ბიოლოგია, გეოგრაფია, კლინიკური მედიცინა, საზოგადოებრივი ჯანდაცვა და მტკიცებითი მედიცინა, სტომატოლოგია, სტომატოლოგიური კლინიკა "ბსუ-დენტი", ქიმია. ფაკულტეტის ფარგლებში ფუნქციონირებს დასავლეთ საქართველოს რეგიონული ქრომატოგრაფიული ცენტრი, სადაც  აპრობირებულია საერთაშორისო სტანდარტის შესაბამისი სასურსათო პროდუქციისა და გარემოს კვლევის ორასამდე მეთოდი.</t>
    </r>
  </si>
  <si>
    <r>
      <rPr>
        <b/>
        <i/>
        <sz val="13"/>
        <rFont val="Sylfaen"/>
        <family val="1"/>
      </rPr>
      <t>ქვეპროგრამის აღწერა</t>
    </r>
    <r>
      <rPr>
        <b/>
        <sz val="13"/>
        <rFont val="Sylfaen"/>
        <family val="1"/>
      </rPr>
      <t xml:space="preserve"> - ბიოლოგიის მიმართულებით ხორციელდება ექსპერიმენტული ხასიათის სასწავლო კურსები, რაც გულისხმობს თეორიულ ცოდნასთან ერთად პრაქტიკული უნარების გამომუშავებას,  სასწავლო საფეხურის შესაბამისი კვლევის შესრულებას, სპეციალიზირებულ  სასწავლო გარემოს, აღჭურვილობას, ბაზებს, სასწავლო და საველე პრაქტიკებს. გეოგრაფიის მიმართულებით  ხორციელდება დედამიწაზე  არსებული ობიექტებისა და სისტემების ორგანიზაციისა და ფუნქციუნირების სივრცით-დროით ასპექტების შესწავლა.  ბუნებრივი გარემოსა და მისი სისტემებისადმი ინტერდისციპლინური მიდგომით კომპლექსურ-გეოგრაფიული პრობლემების შესწავლა,   ბუნებისა და საზოგადოების განვითარების პროცესში  პრიორიტეტების გათვალისწინებით საკუთარი შემდგომი სწავლის საჭიროებების დადგენისა და  საინფორმაციო ტექნოლოგიების დაუფლების,  უახლესი სამეცნიერო ინფორმაციის მოპოვების, დამუშავებისა და საკუთარი საქმიანობის განხორციელების უნარის გამომუშავება. გათვალიწინებულია შორეული სასწავლო პრაქტიკა. 
კლინიკური მედიცინის, ასევე, საზოგადოებრივი ჯანდაცვის და მტკიცებითი მედიცინის მიმართულება ითვალისწინებს შესაბამისი ცოდნისა და უნარ–ჩვევების მქონე  სპეციალისტების მომზადებას, რომლებიც მზად იქნებიან ჯანდაცვის ორგანიზაციულ სფეროში კონკურენტუნარიანი და ქმედითი მონაწილეობა მიიღონ როგორც სახელმწიფო, ასევე არასამთავრობო სექტორში.   სტომატოლოგიის მიმართულებით ხორციელდება სასწავლო პროგრამა, რომელმაც უნდა მოამზადოს თანამედროვე სამედიცინო მოთხოვნების, მაღალი აკადემიური განათლების, ღრმა და საფუძვლიანი თეორიული ცოდნის, პრაქტიკული უნარ-ჩვევებისა და დამოუკიდებელი სამეცნიერო - კვლევითი საქმიანობის განხორციელების შესაძლებლობების მქონე, შრომის ბაზრის მოთხოვნების შესაბამის კვალიფიციურ ექიმი სტომატოლოგები.
ბსუ-ში საუნივერსიტეტო სტომატოლოგიური კლინიკა „ბსუ დენტი“ ფუნქციონირებს, სადაც სტომატოლოგიის სპეციალობის  და რეზიდენტურის სტუდენტები კლინიკურ მეცადინეობებს გადიან. კლინიკაში სტუდენტთა პრაქტიკული უნარ-ჩვევების ჩამოყალიბებისათვის სასწავლო ორთოპედიის, ოდონტოლოგიის, საფანტომო, თერაპიის,  რადიოვიზიოგრაფიისა  და დეკონტამინაციის კაბინეტებია განთავსებული. კლინიკაში სამედიცინო და ფინანსური დოკუმეტაციის წარმოება ხორციელდება ელექტრონული პროგრამის "MEDWORK" საშუალებით. საუნივერსიტეტო კლინიკაში ‘’ბსუ დენტი’’ კლინიკურ სწავლებასთან ერთად შესაძლებელია პაციენტთა მიღება; 
ქიმიის მიმართულებით ხორციელდება ქიმიისა და ბიოქიმიის ექსპერიმენტალური სწავლება თეორიული ცოდნისა და პრაქტიკული უნარ-ჩვევების შეძენისა და სამეცნიერო კვლევების განხორციელების მიზნით;  ქრომატოგრაფიულ ცენტრში ხორციელდება ადგილობრივი და ინტროდუცირებული მცენარეულის ნედლეულის ქიმიური ანალიზი და ბიოაქტიური პრეპარატების მომზადება.</t>
    </r>
  </si>
  <si>
    <r>
      <rPr>
        <b/>
        <i/>
        <sz val="13"/>
        <rFont val="Sylfaen"/>
        <family val="1"/>
      </rPr>
      <t>ქვეპროგრამის მიზანი</t>
    </r>
    <r>
      <rPr>
        <b/>
        <sz val="13"/>
        <rFont val="Sylfaen"/>
        <family val="1"/>
      </rPr>
      <t xml:space="preserve"> - ჰუმანიტარული ცოდნისა და ინფორმაციის დაგროვება და გავრცელება; საზოგადოების ზნეობრივი და კულტურული განვითარების ხელშეწყობა, ინტელექტუალური ელიტის მომზადება; ცოდნის გენერირება და გადაცემა; სწავლებაში ინოვაციური მეთოდების დანერგვა, სტუდენტზე ორიენტირებული სწავლება და კონკურენტუნარიანი კადრების მომზადება; მეცნიერული კვლევების განვითარება და შედეგების სასწავლო პროცესში ინტეგრაცია; სტუდენტისა და პროფესორის პიროვნულ და პროფესიულ განვითარებაზე ზრუნვა და საერთაშორისო აკადემიური და სამეცნიერო თანამშრომლობის ჩამოყალიბება და განვითარება. </t>
    </r>
  </si>
  <si>
    <r>
      <rPr>
        <b/>
        <i/>
        <sz val="13"/>
        <rFont val="Sylfaen"/>
        <family val="1"/>
      </rPr>
      <t>ქვეპროგრამის აღწერა</t>
    </r>
    <r>
      <rPr>
        <b/>
        <sz val="13"/>
        <rFont val="Sylfaen"/>
        <family val="1"/>
      </rPr>
      <t xml:space="preserve"> - ქვეპროგრამის ფარგლებში ხორციელდება სამივე საფეხურის საგანმანათლებლო პროგრამები, მათ შორის: საბაკალავრო - გერმანული ფილოლოგია, თარგმანმცოდნეობა, თურქეთისმცოდნეობა, თურქული ფილოლოგია, ინგლისური ფილოლოგია, ისტორია, რუსული ფილოლოგია, ფილოსოფია, ფრანგული ფილოლოგია, ქართული ფილოლოგია; სამაგისტრო - ევროპეისტიკა, ისტორია, ლინგვისტიკა, ლიტერატურის თეორია და ქართული ლიტერატურათმცოდნეობა, სოციოლოგია, ფილოსოფია, შავიზღვისპირეთისა და კავკასიის არქეოლოგია; სადოქტორო - არქეოლოგია, ისტორია, ლინგვისტიკა, ლიტერატურათმცოდნეობა. ფაკულტეტზე ფუნქციონირებს წლების განმავლობაში საქართველოში სხვადასხვა ქვეყნების საელჩოებთან და საერთაშორისო ორგანიზაციებთან ურთიერთობის ბაზაზე შექმნილი ცენტრები და კაბინეტები – ამერიკანისტიკის ცენტრი, თურქოლოგიის ცენტრი, ანგლისტიკის, რომანისტიკისა და გერმნისტიკის, ასევე კლასიკური ფილოლოგიის, ბიზანტიოლოგიისა და ნეოგრეცისტიკის კაბინეტები. </t>
    </r>
  </si>
  <si>
    <t>პროგრამის განხორციელების მოსალოდნელი შედეგი: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</si>
</sst>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7" x14ac:knownFonts="1">
    <font>
      <sz val="11"/>
      <color theme="1"/>
      <name val="Sylfaen"/>
      <family val="2"/>
      <scheme val="minor"/>
    </font>
    <font>
      <b/>
      <sz val="14"/>
      <color theme="1"/>
      <name val="Sylfaen"/>
      <family val="1"/>
      <scheme val="minor"/>
    </font>
    <font>
      <sz val="11"/>
      <color rgb="FF000000"/>
      <name val="Sylfaen"/>
      <family val="1"/>
    </font>
    <font>
      <b/>
      <sz val="13"/>
      <color theme="1"/>
      <name val="Sylfaen"/>
      <family val="1"/>
      <scheme val="minor"/>
    </font>
    <font>
      <sz val="14"/>
      <color theme="1"/>
      <name val="Sylfaen"/>
      <family val="1"/>
      <scheme val="minor"/>
    </font>
    <font>
      <sz val="13"/>
      <color theme="1"/>
      <name val="Sylfaen"/>
      <family val="1"/>
      <scheme val="minor"/>
    </font>
    <font>
      <b/>
      <i/>
      <sz val="13"/>
      <color theme="1"/>
      <name val="Sylfaen"/>
      <family val="1"/>
      <scheme val="minor"/>
    </font>
    <font>
      <sz val="13"/>
      <color theme="1"/>
      <name val="Sylfaen"/>
      <family val="1"/>
    </font>
    <font>
      <sz val="11"/>
      <color theme="1"/>
      <name val="Sylfaen"/>
      <family val="1"/>
    </font>
    <font>
      <b/>
      <sz val="13"/>
      <color theme="1"/>
      <name val="Sylfaen"/>
      <family val="1"/>
    </font>
    <font>
      <b/>
      <i/>
      <sz val="13"/>
      <color theme="1"/>
      <name val="Sylfaen"/>
      <family val="1"/>
    </font>
    <font>
      <sz val="14"/>
      <color theme="1"/>
      <name val="Sylfaen"/>
      <family val="2"/>
      <scheme val="minor"/>
    </font>
    <font>
      <sz val="13"/>
      <color rgb="FFFF0000"/>
      <name val="Sylfaen"/>
      <family val="1"/>
    </font>
    <font>
      <b/>
      <sz val="13"/>
      <name val="Sylfaen"/>
      <family val="1"/>
    </font>
    <font>
      <b/>
      <sz val="14"/>
      <color theme="1"/>
      <name val="Sylfaen"/>
      <family val="2"/>
      <scheme val="minor"/>
    </font>
    <font>
      <sz val="12"/>
      <color theme="1"/>
      <name val="Sylfaen"/>
      <family val="1"/>
    </font>
    <font>
      <b/>
      <sz val="12"/>
      <color theme="1"/>
      <name val="Sylfaen"/>
      <family val="1"/>
    </font>
    <font>
      <b/>
      <sz val="13"/>
      <color rgb="FFFF0000"/>
      <name val="Sylfaen"/>
      <family val="1"/>
    </font>
    <font>
      <b/>
      <sz val="14"/>
      <name val="Sylfaen"/>
      <family val="1"/>
      <scheme val="minor"/>
    </font>
    <font>
      <sz val="9"/>
      <color indexed="81"/>
      <name val="Tahoma"/>
      <family val="2"/>
    </font>
    <font>
      <b/>
      <sz val="9"/>
      <color indexed="81"/>
      <name val="Tahoma"/>
      <family val="2"/>
    </font>
    <font>
      <b/>
      <sz val="11"/>
      <color theme="1"/>
      <name val="Sylfaen"/>
      <family val="1"/>
      <scheme val="minor"/>
    </font>
    <font>
      <sz val="10"/>
      <color theme="1"/>
      <name val="Sylfaen"/>
      <family val="1"/>
    </font>
    <font>
      <sz val="10"/>
      <color theme="1"/>
      <name val="Sylfaen"/>
      <family val="1"/>
      <scheme val="minor"/>
    </font>
    <font>
      <b/>
      <sz val="10"/>
      <color theme="1"/>
      <name val="Sylfaen"/>
      <family val="1"/>
      <scheme val="minor"/>
    </font>
    <font>
      <b/>
      <sz val="11"/>
      <color theme="1"/>
      <name val="Sylfaen"/>
      <family val="1"/>
    </font>
    <font>
      <b/>
      <sz val="10"/>
      <color theme="1"/>
      <name val="Sylfaen"/>
      <family val="1"/>
    </font>
    <font>
      <sz val="10"/>
      <name val="Sylfaen"/>
      <family val="1"/>
      <scheme val="minor"/>
    </font>
    <font>
      <b/>
      <sz val="10"/>
      <name val="Sylfaen"/>
      <family val="1"/>
      <scheme val="minor"/>
    </font>
    <font>
      <b/>
      <sz val="11"/>
      <name val="Sylfaen"/>
      <family val="1"/>
    </font>
    <font>
      <sz val="12"/>
      <color theme="1"/>
      <name val="Sylfaen"/>
      <family val="1"/>
      <scheme val="minor"/>
    </font>
    <font>
      <sz val="12"/>
      <name val="Sylfaen"/>
      <family val="1"/>
    </font>
    <font>
      <b/>
      <sz val="12"/>
      <name val="Sylfaen"/>
      <family val="1"/>
    </font>
    <font>
      <sz val="12"/>
      <name val="Sylfaen"/>
      <family val="1"/>
      <scheme val="major"/>
    </font>
    <font>
      <b/>
      <i/>
      <sz val="13"/>
      <name val="Sylfaen"/>
      <family val="1"/>
    </font>
    <font>
      <b/>
      <sz val="12"/>
      <name val="Sylfaen"/>
      <family val="1"/>
      <scheme val="minor"/>
    </font>
    <font>
      <b/>
      <i/>
      <sz val="14"/>
      <color theme="1"/>
      <name val="Sylfaen"/>
      <family val="1"/>
      <scheme val="minor"/>
    </font>
    <font>
      <b/>
      <sz val="14"/>
      <color theme="1"/>
      <name val="Sylfaen"/>
      <family val="2"/>
      <charset val="1"/>
      <scheme val="minor"/>
    </font>
    <font>
      <b/>
      <sz val="14"/>
      <color theme="1"/>
      <name val="Calibri"/>
      <family val="2"/>
    </font>
    <font>
      <b/>
      <sz val="14"/>
      <color theme="1"/>
      <name val="Sylfaen"/>
      <family val="2"/>
    </font>
    <font>
      <sz val="12"/>
      <name val="Sylfaen"/>
      <family val="1"/>
      <scheme val="minor"/>
    </font>
    <font>
      <b/>
      <sz val="11"/>
      <name val="Sylfaen"/>
      <family val="1"/>
      <scheme val="minor"/>
    </font>
    <font>
      <b/>
      <sz val="13"/>
      <name val="Sylfaen"/>
      <family val="1"/>
      <scheme val="minor"/>
    </font>
    <font>
      <b/>
      <i/>
      <sz val="13"/>
      <name val="Sylfaen"/>
      <family val="1"/>
      <scheme val="minor"/>
    </font>
    <font>
      <sz val="13"/>
      <name val="Sylfaen"/>
      <family val="1"/>
      <scheme val="minor"/>
    </font>
    <font>
      <sz val="13"/>
      <name val="Sylfaen"/>
      <family val="1"/>
    </font>
    <font>
      <sz val="14"/>
      <name val="Sylfaen"/>
      <family val="1"/>
      <scheme val="minor"/>
    </font>
    <font>
      <sz val="13"/>
      <name val="Sylfaen"/>
      <family val="1"/>
      <scheme val="major"/>
    </font>
    <font>
      <b/>
      <sz val="12"/>
      <color theme="1"/>
      <name val="Sylfaen"/>
      <family val="1"/>
      <scheme val="minor"/>
    </font>
    <font>
      <b/>
      <i/>
      <sz val="12"/>
      <name val="Sylfaen"/>
      <family val="1"/>
      <scheme val="minor"/>
    </font>
    <font>
      <b/>
      <sz val="14"/>
      <name val="Sylfaen"/>
      <family val="1"/>
    </font>
    <font>
      <sz val="10"/>
      <name val="Sylfaen"/>
      <family val="1"/>
    </font>
    <font>
      <b/>
      <sz val="10"/>
      <name val="Sylfaen"/>
      <family val="1"/>
    </font>
    <font>
      <sz val="14"/>
      <name val="Sylfaen"/>
      <family val="1"/>
    </font>
    <font>
      <b/>
      <i/>
      <sz val="14"/>
      <name val="Sylfaen"/>
      <family val="1"/>
    </font>
    <font>
      <sz val="11"/>
      <name val="Sylfaen"/>
      <family val="1"/>
    </font>
    <font>
      <b/>
      <sz val="12"/>
      <name val="Sylfaen"/>
      <family val="1"/>
      <scheme val="major"/>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379">
    <xf numFmtId="0" fontId="0" fillId="0" borderId="0" xfId="0"/>
    <xf numFmtId="0" fontId="0" fillId="0" borderId="0" xfId="0" applyAlignment="1">
      <alignment horizontal="center" vertical="center"/>
    </xf>
    <xf numFmtId="0" fontId="0" fillId="0" borderId="0" xfId="0" applyAlignment="1">
      <alignment horizontal="center"/>
    </xf>
    <xf numFmtId="3" fontId="0" fillId="0" borderId="0" xfId="0" applyNumberFormat="1" applyAlignment="1">
      <alignment horizontal="center" vertical="center"/>
    </xf>
    <xf numFmtId="0" fontId="0" fillId="3" borderId="0" xfId="0" applyFill="1"/>
    <xf numFmtId="3" fontId="2" fillId="0" borderId="0" xfId="0" applyNumberFormat="1"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5" fillId="0" borderId="0" xfId="0" applyFont="1"/>
    <xf numFmtId="0" fontId="3" fillId="0" borderId="0" xfId="0" applyFont="1" applyAlignment="1">
      <alignment horizontal="center" vertical="center"/>
    </xf>
    <xf numFmtId="0" fontId="5" fillId="0" borderId="0" xfId="0" applyFont="1" applyAlignment="1">
      <alignment horizontal="center"/>
    </xf>
    <xf numFmtId="0" fontId="0" fillId="3" borderId="0" xfId="0" applyFill="1" applyAlignment="1">
      <alignment horizontal="center"/>
    </xf>
    <xf numFmtId="0" fontId="8" fillId="0" borderId="0" xfId="0" applyFont="1"/>
    <xf numFmtId="0" fontId="8" fillId="0" borderId="0" xfId="0" applyFont="1" applyAlignment="1">
      <alignment horizontal="center" vertical="center"/>
    </xf>
    <xf numFmtId="0" fontId="10" fillId="0" borderId="0" xfId="0" applyFont="1" applyAlignment="1">
      <alignment horizontal="center" vertical="center" wrapText="1"/>
    </xf>
    <xf numFmtId="0" fontId="8" fillId="0" borderId="0" xfId="0" applyFont="1" applyAlignment="1">
      <alignment horizontal="center"/>
    </xf>
    <xf numFmtId="3" fontId="8" fillId="0" borderId="0" xfId="0" applyNumberFormat="1" applyFont="1"/>
    <xf numFmtId="3" fontId="8" fillId="0" borderId="0" xfId="0" applyNumberFormat="1" applyFont="1" applyAlignment="1">
      <alignment horizontal="center" vertical="center"/>
    </xf>
    <xf numFmtId="0" fontId="8" fillId="3" borderId="0" xfId="0" applyFont="1" applyFill="1"/>
    <xf numFmtId="0" fontId="7" fillId="0" borderId="0" xfId="0" applyFont="1" applyAlignment="1">
      <alignment horizontal="center" vertical="center"/>
    </xf>
    <xf numFmtId="0" fontId="7" fillId="0" borderId="0" xfId="0" applyFont="1"/>
    <xf numFmtId="3" fontId="8" fillId="3" borderId="0" xfId="0" applyNumberFormat="1" applyFont="1" applyFill="1" applyAlignment="1">
      <alignment horizontal="center" vertical="center"/>
    </xf>
    <xf numFmtId="0" fontId="11"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wrapText="1"/>
    </xf>
    <xf numFmtId="0" fontId="15"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vertical="center"/>
    </xf>
    <xf numFmtId="0" fontId="10" fillId="3" borderId="0" xfId="0" applyFont="1" applyFill="1" applyAlignment="1">
      <alignment horizontal="center" vertical="center"/>
    </xf>
    <xf numFmtId="0" fontId="8" fillId="3" borderId="0" xfId="0" applyFont="1" applyFill="1" applyAlignment="1">
      <alignment horizontal="center"/>
    </xf>
    <xf numFmtId="0" fontId="22" fillId="0" borderId="0" xfId="0" applyFont="1"/>
    <xf numFmtId="0" fontId="22" fillId="0" borderId="0" xfId="0" applyFont="1" applyAlignment="1">
      <alignment horizontal="center" vertical="center"/>
    </xf>
    <xf numFmtId="0" fontId="25" fillId="0" borderId="0" xfId="0" applyFont="1"/>
    <xf numFmtId="0" fontId="21" fillId="0" borderId="0" xfId="0" applyFont="1"/>
    <xf numFmtId="0" fontId="26" fillId="0" borderId="0" xfId="0" applyFont="1"/>
    <xf numFmtId="0" fontId="21" fillId="0" borderId="0" xfId="0" applyFont="1" applyAlignment="1">
      <alignment horizontal="center" vertical="center"/>
    </xf>
    <xf numFmtId="0" fontId="4" fillId="0" borderId="0" xfId="0" applyFont="1" applyAlignment="1">
      <alignment horizontal="center" vertical="center"/>
    </xf>
    <xf numFmtId="2" fontId="4" fillId="0" borderId="0" xfId="0" applyNumberFormat="1" applyFont="1" applyAlignment="1">
      <alignment horizontal="center" vertical="center"/>
    </xf>
    <xf numFmtId="0" fontId="22" fillId="3" borderId="0" xfId="0" applyFont="1" applyFill="1"/>
    <xf numFmtId="0" fontId="23" fillId="0" borderId="0" xfId="0" applyFont="1"/>
    <xf numFmtId="0" fontId="23" fillId="3" borderId="0" xfId="0" applyFont="1" applyFill="1"/>
    <xf numFmtId="0" fontId="23" fillId="0" borderId="0" xfId="0" applyFont="1" applyAlignment="1">
      <alignment horizontal="center" vertical="center"/>
    </xf>
    <xf numFmtId="3" fontId="23" fillId="0" borderId="0" xfId="0" applyNumberFormat="1" applyFont="1" applyAlignment="1">
      <alignment horizontal="center" vertical="center"/>
    </xf>
    <xf numFmtId="0" fontId="24" fillId="0" borderId="0" xfId="0" applyFont="1" applyAlignment="1">
      <alignment horizontal="center" vertical="center"/>
    </xf>
    <xf numFmtId="0" fontId="27" fillId="0" borderId="0" xfId="0" applyFont="1"/>
    <xf numFmtId="0" fontId="27" fillId="0" borderId="0" xfId="0" applyFont="1" applyAlignment="1">
      <alignment horizontal="center" vertical="center"/>
    </xf>
    <xf numFmtId="0" fontId="28" fillId="0" borderId="0" xfId="0" applyFont="1"/>
    <xf numFmtId="0" fontId="4" fillId="0" borderId="0" xfId="0" applyFont="1"/>
    <xf numFmtId="3" fontId="1" fillId="3" borderId="0" xfId="0" applyNumberFormat="1" applyFont="1" applyFill="1" applyAlignment="1">
      <alignment horizontal="center" vertical="center" wrapText="1"/>
    </xf>
    <xf numFmtId="4" fontId="1" fillId="3" borderId="0" xfId="0" applyNumberFormat="1" applyFont="1" applyFill="1" applyAlignment="1">
      <alignment horizontal="center" vertical="center" wrapText="1"/>
    </xf>
    <xf numFmtId="0" fontId="4" fillId="0" borderId="1" xfId="0" applyFont="1" applyBorder="1" applyAlignment="1">
      <alignment horizontal="center" vertical="center"/>
    </xf>
    <xf numFmtId="3" fontId="18" fillId="0" borderId="1" xfId="0" applyNumberFormat="1" applyFont="1" applyBorder="1" applyAlignment="1">
      <alignment horizontal="center" vertical="center"/>
    </xf>
    <xf numFmtId="3" fontId="18"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0" fontId="24" fillId="0" borderId="0" xfId="0" applyFont="1"/>
    <xf numFmtId="0" fontId="29" fillId="0" borderId="0" xfId="0" applyFont="1"/>
    <xf numFmtId="3" fontId="22" fillId="0" borderId="0" xfId="0" applyNumberFormat="1" applyFont="1" applyAlignment="1">
      <alignment horizontal="center" vertical="center"/>
    </xf>
    <xf numFmtId="0" fontId="22" fillId="0" borderId="0" xfId="0" applyFont="1" applyAlignment="1">
      <alignment horizontal="center"/>
    </xf>
    <xf numFmtId="0" fontId="23" fillId="0" borderId="0" xfId="0" applyFont="1" applyAlignment="1">
      <alignment horizontal="center"/>
    </xf>
    <xf numFmtId="0" fontId="23" fillId="3" borderId="0" xfId="0" applyFont="1" applyFill="1" applyAlignment="1">
      <alignment horizontal="center"/>
    </xf>
    <xf numFmtId="0" fontId="22" fillId="3" borderId="0" xfId="0" applyFont="1" applyFill="1" applyAlignment="1">
      <alignment horizontal="center"/>
    </xf>
    <xf numFmtId="3" fontId="22" fillId="0" borderId="0" xfId="0" applyNumberFormat="1" applyFont="1" applyAlignment="1">
      <alignment horizontal="center"/>
    </xf>
    <xf numFmtId="3" fontId="22" fillId="0" borderId="0" xfId="0" applyNumberFormat="1" applyFont="1"/>
    <xf numFmtId="0" fontId="27" fillId="0" borderId="0" xfId="0" applyFont="1" applyAlignment="1">
      <alignment horizontal="center"/>
    </xf>
    <xf numFmtId="3" fontId="27" fillId="0" borderId="0" xfId="0" applyNumberFormat="1" applyFont="1"/>
    <xf numFmtId="4" fontId="27" fillId="0" borderId="0" xfId="0" applyNumberFormat="1" applyFont="1" applyAlignment="1">
      <alignment horizontal="center" vertical="center"/>
    </xf>
    <xf numFmtId="4" fontId="31" fillId="3" borderId="1" xfId="0" applyNumberFormat="1" applyFont="1" applyFill="1" applyBorder="1" applyAlignment="1">
      <alignment horizontal="center" vertical="center" wrapText="1"/>
    </xf>
    <xf numFmtId="2" fontId="33" fillId="3" borderId="1" xfId="0" applyNumberFormat="1" applyFont="1" applyFill="1" applyBorder="1" applyAlignment="1">
      <alignment horizontal="center" vertical="center" wrapText="1"/>
    </xf>
    <xf numFmtId="4" fontId="33" fillId="3" borderId="1" xfId="0" applyNumberFormat="1" applyFont="1" applyFill="1" applyBorder="1" applyAlignment="1">
      <alignment horizontal="center" vertical="center" wrapText="1"/>
    </xf>
    <xf numFmtId="4" fontId="33" fillId="3" borderId="2" xfId="0" applyNumberFormat="1" applyFont="1" applyFill="1" applyBorder="1" applyAlignment="1">
      <alignment horizontal="center" vertical="center" wrapText="1"/>
    </xf>
    <xf numFmtId="0" fontId="31" fillId="3" borderId="1" xfId="0" applyFont="1" applyFill="1" applyBorder="1" applyAlignment="1">
      <alignment horizontal="center" vertical="center" wrapText="1"/>
    </xf>
    <xf numFmtId="3" fontId="32" fillId="3" borderId="0" xfId="0" applyNumberFormat="1" applyFont="1" applyFill="1" applyAlignment="1">
      <alignment horizontal="center" vertical="center"/>
    </xf>
    <xf numFmtId="0" fontId="16" fillId="3" borderId="0" xfId="0" applyFont="1" applyFill="1" applyAlignment="1">
      <alignment horizontal="center" vertical="center"/>
    </xf>
    <xf numFmtId="0" fontId="1" fillId="0" borderId="1" xfId="0" applyFont="1" applyBorder="1" applyAlignment="1">
      <alignment horizontal="center" vertical="center" wrapText="1"/>
    </xf>
    <xf numFmtId="0" fontId="11" fillId="0" borderId="0" xfId="0" applyFont="1"/>
    <xf numFmtId="3" fontId="11" fillId="0" borderId="0" xfId="0" applyNumberFormat="1" applyFont="1" applyAlignment="1">
      <alignment horizontal="center" vertical="center"/>
    </xf>
    <xf numFmtId="0" fontId="11" fillId="0" borderId="0" xfId="0" applyFont="1" applyAlignment="1">
      <alignment horizontal="center"/>
    </xf>
    <xf numFmtId="3" fontId="11" fillId="0" borderId="0" xfId="0" applyNumberFormat="1" applyFont="1"/>
    <xf numFmtId="4" fontId="31" fillId="3" borderId="1" xfId="0" applyNumberFormat="1" applyFont="1" applyFill="1" applyBorder="1" applyAlignment="1">
      <alignment horizontal="center" vertical="center"/>
    </xf>
    <xf numFmtId="0" fontId="15" fillId="0" borderId="0" xfId="0" applyFont="1" applyAlignment="1">
      <alignment horizontal="center" vertical="center" wrapText="1"/>
    </xf>
    <xf numFmtId="2" fontId="33" fillId="0" borderId="1" xfId="0" applyNumberFormat="1" applyFont="1" applyBorder="1" applyAlignment="1">
      <alignment horizontal="center" vertical="center" wrapText="1"/>
    </xf>
    <xf numFmtId="4" fontId="33" fillId="0" borderId="1" xfId="0" applyNumberFormat="1" applyFont="1" applyBorder="1" applyAlignment="1">
      <alignment horizontal="center" vertical="center" wrapText="1"/>
    </xf>
    <xf numFmtId="4" fontId="33" fillId="0" borderId="2"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0" xfId="0" applyFont="1" applyAlignment="1">
      <alignment horizontal="center" vertical="center"/>
    </xf>
    <xf numFmtId="0" fontId="31" fillId="0" borderId="0" xfId="0" applyFont="1" applyAlignment="1">
      <alignment horizontal="center" vertical="center" wrapText="1"/>
    </xf>
    <xf numFmtId="3" fontId="31" fillId="0" borderId="0" xfId="0" applyNumberFormat="1" applyFont="1" applyAlignment="1">
      <alignment horizontal="center" vertical="center"/>
    </xf>
    <xf numFmtId="0" fontId="32" fillId="0" borderId="0" xfId="0" applyFont="1" applyAlignment="1">
      <alignment horizontal="center" vertical="center"/>
    </xf>
    <xf numFmtId="0" fontId="32" fillId="0" borderId="0" xfId="0" applyFont="1" applyAlignment="1">
      <alignment horizontal="center" vertical="center" wrapText="1"/>
    </xf>
    <xf numFmtId="3" fontId="32" fillId="0" borderId="0" xfId="0" applyNumberFormat="1" applyFont="1" applyAlignment="1">
      <alignment horizontal="center" vertical="center"/>
    </xf>
    <xf numFmtId="2" fontId="32" fillId="0" borderId="0" xfId="0" applyNumberFormat="1" applyFont="1" applyAlignment="1">
      <alignment horizontal="center" vertical="center"/>
    </xf>
    <xf numFmtId="0" fontId="40" fillId="0" borderId="1" xfId="0" applyFont="1" applyBorder="1" applyAlignment="1">
      <alignment horizontal="center" vertical="center" wrapText="1"/>
    </xf>
    <xf numFmtId="0" fontId="40" fillId="0" borderId="2" xfId="0" applyFont="1" applyBorder="1" applyAlignment="1">
      <alignment horizontal="center" vertical="center" wrapText="1"/>
    </xf>
    <xf numFmtId="0" fontId="31" fillId="0" borderId="1" xfId="0" applyFont="1" applyBorder="1" applyAlignment="1">
      <alignment horizontal="center" vertical="center"/>
    </xf>
    <xf numFmtId="3" fontId="31" fillId="0" borderId="1" xfId="0" applyNumberFormat="1" applyFont="1" applyBorder="1" applyAlignment="1">
      <alignment horizontal="center" vertical="center" wrapText="1"/>
    </xf>
    <xf numFmtId="0" fontId="31" fillId="0" borderId="1" xfId="0" applyFont="1" applyBorder="1"/>
    <xf numFmtId="4" fontId="31" fillId="0" borderId="1" xfId="0" applyNumberFormat="1" applyFont="1" applyBorder="1" applyAlignment="1">
      <alignment horizontal="center" vertical="center"/>
    </xf>
    <xf numFmtId="0" fontId="31" fillId="0" borderId="0" xfId="0" applyFont="1"/>
    <xf numFmtId="3" fontId="31" fillId="0" borderId="1" xfId="0" applyNumberFormat="1" applyFont="1" applyBorder="1" applyAlignment="1">
      <alignment horizontal="center" vertical="center"/>
    </xf>
    <xf numFmtId="0" fontId="31" fillId="0" borderId="2" xfId="0" applyFont="1" applyBorder="1" applyAlignment="1">
      <alignment horizontal="center" vertical="center" wrapText="1"/>
    </xf>
    <xf numFmtId="4" fontId="31" fillId="0" borderId="1" xfId="0" applyNumberFormat="1" applyFont="1" applyBorder="1" applyAlignment="1">
      <alignment horizontal="center" vertical="center" wrapText="1"/>
    </xf>
    <xf numFmtId="4" fontId="32" fillId="0" borderId="0" xfId="0" applyNumberFormat="1" applyFont="1" applyAlignment="1">
      <alignment horizontal="center" vertical="center"/>
    </xf>
    <xf numFmtId="0" fontId="32" fillId="0" borderId="0" xfId="0" applyFont="1"/>
    <xf numFmtId="0" fontId="32" fillId="0" borderId="0" xfId="0" applyFont="1" applyAlignment="1">
      <alignment horizontal="center"/>
    </xf>
    <xf numFmtId="0" fontId="23" fillId="0" borderId="0" xfId="0" applyFont="1" applyAlignment="1">
      <alignment horizontal="center" vertical="center" wrapText="1"/>
    </xf>
    <xf numFmtId="0" fontId="5" fillId="0" borderId="0" xfId="0" applyFont="1" applyAlignment="1">
      <alignment horizontal="center" vertical="center"/>
    </xf>
    <xf numFmtId="0" fontId="5" fillId="3" borderId="0" xfId="0" applyFont="1" applyFill="1"/>
    <xf numFmtId="0" fontId="5" fillId="3" borderId="0" xfId="0" applyFont="1" applyFill="1" applyAlignment="1">
      <alignment horizontal="center" vertical="center" wrapText="1"/>
    </xf>
    <xf numFmtId="0" fontId="40" fillId="0" borderId="0" xfId="0" applyFont="1" applyAlignment="1">
      <alignment horizontal="center" vertical="center" wrapText="1"/>
    </xf>
    <xf numFmtId="0" fontId="40" fillId="0" borderId="1" xfId="0" applyFont="1" applyBorder="1"/>
    <xf numFmtId="2" fontId="40" fillId="0" borderId="1" xfId="0" applyNumberFormat="1" applyFont="1" applyBorder="1" applyAlignment="1">
      <alignment horizontal="center" vertical="center"/>
    </xf>
    <xf numFmtId="0" fontId="40" fillId="0" borderId="0" xfId="0" applyFont="1"/>
    <xf numFmtId="3" fontId="31" fillId="0" borderId="2" xfId="0" applyNumberFormat="1" applyFont="1" applyBorder="1" applyAlignment="1">
      <alignment horizontal="center" vertical="center"/>
    </xf>
    <xf numFmtId="3" fontId="31" fillId="0" borderId="2" xfId="0" applyNumberFormat="1" applyFont="1" applyBorder="1" applyAlignment="1">
      <alignment horizontal="center" vertical="center" wrapText="1"/>
    </xf>
    <xf numFmtId="2" fontId="35" fillId="0" borderId="0" xfId="0" applyNumberFormat="1" applyFont="1" applyAlignment="1">
      <alignment horizontal="center" vertical="center"/>
    </xf>
    <xf numFmtId="0" fontId="35" fillId="0" borderId="0" xfId="0" applyFont="1" applyAlignment="1">
      <alignment horizontal="center" vertical="center" wrapText="1"/>
    </xf>
    <xf numFmtId="0" fontId="35" fillId="0" borderId="0" xfId="0" applyFont="1"/>
    <xf numFmtId="3" fontId="31" fillId="0" borderId="1" xfId="0" applyNumberFormat="1" applyFont="1" applyBorder="1"/>
    <xf numFmtId="2" fontId="31" fillId="0" borderId="1" xfId="0" applyNumberFormat="1" applyFont="1" applyBorder="1" applyAlignment="1">
      <alignment horizontal="center" vertical="center"/>
    </xf>
    <xf numFmtId="0" fontId="31" fillId="0" borderId="0" xfId="0" applyFont="1" applyAlignment="1">
      <alignment vertical="center"/>
    </xf>
    <xf numFmtId="2" fontId="32" fillId="0" borderId="0" xfId="0" applyNumberFormat="1" applyFont="1" applyAlignment="1">
      <alignment vertical="center"/>
    </xf>
    <xf numFmtId="0" fontId="41" fillId="0" borderId="0" xfId="0" applyFont="1" applyAlignment="1">
      <alignment horizontal="center" vertical="center"/>
    </xf>
    <xf numFmtId="0" fontId="40" fillId="0" borderId="1" xfId="0" applyFont="1" applyBorder="1" applyAlignment="1">
      <alignment horizontal="center" vertical="center"/>
    </xf>
    <xf numFmtId="3" fontId="40" fillId="0" borderId="1" xfId="0" applyNumberFormat="1" applyFont="1" applyBorder="1" applyAlignment="1">
      <alignment horizontal="center" vertical="center" wrapText="1"/>
    </xf>
    <xf numFmtId="4" fontId="40" fillId="0" borderId="1" xfId="0" applyNumberFormat="1" applyFont="1" applyBorder="1" applyAlignment="1">
      <alignment horizontal="center" vertical="center"/>
    </xf>
    <xf numFmtId="3" fontId="40" fillId="0" borderId="1" xfId="0" applyNumberFormat="1" applyFont="1" applyBorder="1" applyAlignment="1">
      <alignment horizontal="center" vertical="center"/>
    </xf>
    <xf numFmtId="3" fontId="40" fillId="0" borderId="2" xfId="0" applyNumberFormat="1" applyFont="1" applyBorder="1" applyAlignment="1">
      <alignment horizontal="center" vertical="center"/>
    </xf>
    <xf numFmtId="3" fontId="40" fillId="0" borderId="2" xfId="0" applyNumberFormat="1" applyFont="1" applyBorder="1" applyAlignment="1">
      <alignment horizontal="center" vertical="center" wrapText="1"/>
    </xf>
    <xf numFmtId="0" fontId="40" fillId="0" borderId="0" xfId="0" applyFont="1" applyAlignment="1">
      <alignment horizontal="center" vertical="center"/>
    </xf>
    <xf numFmtId="3" fontId="40" fillId="0" borderId="0" xfId="0" applyNumberFormat="1" applyFont="1" applyAlignment="1">
      <alignment horizontal="center" vertical="center"/>
    </xf>
    <xf numFmtId="0" fontId="42" fillId="0" borderId="0" xfId="0" applyFont="1" applyAlignment="1">
      <alignment horizontal="center" vertical="center" wrapText="1"/>
    </xf>
    <xf numFmtId="0" fontId="35" fillId="0" borderId="0" xfId="0" applyFont="1" applyAlignment="1">
      <alignment horizontal="center" vertical="center"/>
    </xf>
    <xf numFmtId="3" fontId="35" fillId="0" borderId="0" xfId="0" applyNumberFormat="1" applyFont="1" applyAlignment="1">
      <alignment horizontal="center" vertical="center"/>
    </xf>
    <xf numFmtId="0" fontId="7" fillId="3" borderId="0" xfId="0" applyFont="1" applyFill="1"/>
    <xf numFmtId="4" fontId="31" fillId="0" borderId="4" xfId="0" applyNumberFormat="1" applyFont="1" applyBorder="1" applyAlignment="1">
      <alignment horizontal="center" vertical="center" wrapText="1"/>
    </xf>
    <xf numFmtId="0" fontId="31" fillId="0" borderId="1" xfId="0" applyFont="1" applyBorder="1" applyAlignment="1">
      <alignment vertical="center"/>
    </xf>
    <xf numFmtId="0" fontId="7" fillId="3" borderId="0" xfId="0" applyFont="1" applyFill="1" applyAlignment="1">
      <alignment horizontal="center" vertical="center" wrapText="1"/>
    </xf>
    <xf numFmtId="2" fontId="31" fillId="0" borderId="1" xfId="0" applyNumberFormat="1" applyFont="1" applyBorder="1" applyAlignment="1">
      <alignment horizontal="center" vertical="center" wrapText="1"/>
    </xf>
    <xf numFmtId="0" fontId="40" fillId="0" borderId="0" xfId="0" applyFont="1" applyAlignment="1">
      <alignment horizontal="center" wrapText="1"/>
    </xf>
    <xf numFmtId="0" fontId="44" fillId="0" borderId="0" xfId="0" applyFont="1" applyAlignment="1">
      <alignment horizontal="center" vertical="center"/>
    </xf>
    <xf numFmtId="0" fontId="44" fillId="0" borderId="0" xfId="0" applyFont="1"/>
    <xf numFmtId="0" fontId="45"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wrapText="1"/>
    </xf>
    <xf numFmtId="0" fontId="46" fillId="0" borderId="1" xfId="0" applyFont="1" applyBorder="1" applyAlignment="1">
      <alignment horizontal="center" vertical="center"/>
    </xf>
    <xf numFmtId="4"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0" fontId="46" fillId="0" borderId="0" xfId="0" applyFont="1"/>
    <xf numFmtId="0" fontId="45"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5" fillId="0" borderId="0" xfId="0" applyFont="1" applyAlignment="1">
      <alignment horizontal="center" vertical="center" wrapText="1"/>
    </xf>
    <xf numFmtId="0" fontId="45" fillId="0" borderId="1" xfId="0" applyFont="1" applyBorder="1" applyAlignment="1">
      <alignment horizontal="center" vertical="center"/>
    </xf>
    <xf numFmtId="3" fontId="45" fillId="0" borderId="1" xfId="0" applyNumberFormat="1" applyFont="1" applyBorder="1" applyAlignment="1">
      <alignment horizontal="center" vertical="center" wrapText="1"/>
    </xf>
    <xf numFmtId="2" fontId="47" fillId="0" borderId="1" xfId="0" applyNumberFormat="1" applyFont="1" applyBorder="1" applyAlignment="1">
      <alignment horizontal="center" vertical="center" wrapText="1"/>
    </xf>
    <xf numFmtId="3" fontId="45" fillId="0" borderId="1" xfId="0" applyNumberFormat="1" applyFont="1" applyBorder="1"/>
    <xf numFmtId="0" fontId="45" fillId="0" borderId="1" xfId="0" applyFont="1" applyBorder="1"/>
    <xf numFmtId="2" fontId="45" fillId="0" borderId="1" xfId="0" applyNumberFormat="1" applyFont="1" applyBorder="1" applyAlignment="1">
      <alignment horizontal="center" vertical="center"/>
    </xf>
    <xf numFmtId="4" fontId="47" fillId="0" borderId="1" xfId="0" applyNumberFormat="1" applyFont="1" applyBorder="1" applyAlignment="1">
      <alignment horizontal="center" vertical="center" wrapText="1"/>
    </xf>
    <xf numFmtId="4" fontId="47" fillId="0" borderId="2" xfId="0" applyNumberFormat="1" applyFont="1" applyBorder="1" applyAlignment="1">
      <alignment horizontal="center" vertical="center" wrapText="1"/>
    </xf>
    <xf numFmtId="0" fontId="45" fillId="0" borderId="0" xfId="0" applyFont="1"/>
    <xf numFmtId="3" fontId="45" fillId="0" borderId="1" xfId="0" applyNumberFormat="1" applyFont="1" applyBorder="1" applyAlignment="1">
      <alignment horizontal="center" vertical="center"/>
    </xf>
    <xf numFmtId="0" fontId="45" fillId="0" borderId="2" xfId="0" applyFont="1" applyBorder="1" applyAlignment="1">
      <alignment horizontal="center" vertical="center" wrapText="1"/>
    </xf>
    <xf numFmtId="4" fontId="45" fillId="0" borderId="1" xfId="0" applyNumberFormat="1" applyFont="1" applyBorder="1" applyAlignment="1">
      <alignment horizontal="center" vertical="center" wrapText="1"/>
    </xf>
    <xf numFmtId="0" fontId="13" fillId="0" borderId="0" xfId="0" applyFont="1"/>
    <xf numFmtId="0" fontId="13" fillId="0" borderId="0" xfId="0" applyFont="1" applyAlignment="1">
      <alignment horizontal="center" vertical="center"/>
    </xf>
    <xf numFmtId="3" fontId="13" fillId="0" borderId="0" xfId="0" applyNumberFormat="1" applyFont="1" applyAlignment="1">
      <alignment horizontal="center" vertical="center"/>
    </xf>
    <xf numFmtId="2" fontId="13" fillId="0" borderId="0" xfId="0" applyNumberFormat="1" applyFont="1" applyAlignment="1">
      <alignment horizontal="center" vertical="center"/>
    </xf>
    <xf numFmtId="0" fontId="30" fillId="0" borderId="0" xfId="0" applyFont="1" applyAlignment="1">
      <alignment horizontal="center" vertical="center"/>
    </xf>
    <xf numFmtId="0" fontId="30" fillId="3" borderId="0" xfId="0" applyFont="1" applyFill="1"/>
    <xf numFmtId="0" fontId="30" fillId="0" borderId="0" xfId="0" applyFont="1"/>
    <xf numFmtId="3" fontId="30" fillId="0" borderId="0" xfId="0" applyNumberFormat="1" applyFont="1" applyAlignment="1">
      <alignment horizontal="center" vertical="center"/>
    </xf>
    <xf numFmtId="0" fontId="48" fillId="0" borderId="0" xfId="0" applyFont="1" applyAlignment="1">
      <alignment horizontal="center" vertical="center"/>
    </xf>
    <xf numFmtId="3" fontId="16" fillId="0" borderId="0" xfId="0" applyNumberFormat="1" applyFont="1" applyAlignment="1">
      <alignment horizontal="center" vertical="center"/>
    </xf>
    <xf numFmtId="2" fontId="15" fillId="0" borderId="0" xfId="0" applyNumberFormat="1" applyFont="1" applyAlignment="1">
      <alignment horizontal="center" vertical="center"/>
    </xf>
    <xf numFmtId="2" fontId="16" fillId="0" borderId="0" xfId="0" applyNumberFormat="1" applyFont="1" applyAlignment="1">
      <alignment horizontal="center" vertical="center"/>
    </xf>
    <xf numFmtId="0" fontId="15" fillId="0" borderId="0" xfId="0" applyFont="1"/>
    <xf numFmtId="0" fontId="35" fillId="0" borderId="1" xfId="0" applyFont="1" applyBorder="1" applyAlignment="1">
      <alignment horizontal="center" vertical="center" wrapText="1"/>
    </xf>
    <xf numFmtId="0" fontId="35" fillId="0" borderId="1" xfId="0" applyFont="1" applyBorder="1" applyAlignment="1">
      <alignment horizontal="center" vertical="center"/>
    </xf>
    <xf numFmtId="3" fontId="40" fillId="3" borderId="1" xfId="0" applyNumberFormat="1" applyFont="1" applyFill="1" applyBorder="1" applyAlignment="1">
      <alignment horizontal="center" vertical="center"/>
    </xf>
    <xf numFmtId="4" fontId="40" fillId="3" borderId="1" xfId="0" applyNumberFormat="1" applyFont="1" applyFill="1" applyBorder="1" applyAlignment="1">
      <alignment horizontal="center" vertical="center" wrapText="1"/>
    </xf>
    <xf numFmtId="0" fontId="40" fillId="0" borderId="14" xfId="0" applyFont="1" applyBorder="1" applyAlignment="1">
      <alignment horizontal="center" vertical="center"/>
    </xf>
    <xf numFmtId="3" fontId="40" fillId="0" borderId="14" xfId="0" applyNumberFormat="1" applyFont="1" applyBorder="1" applyAlignment="1">
      <alignment horizontal="center" vertical="center" wrapText="1"/>
    </xf>
    <xf numFmtId="3" fontId="31" fillId="0" borderId="14" xfId="0" applyNumberFormat="1" applyFont="1" applyBorder="1" applyAlignment="1">
      <alignment horizontal="center" vertical="center" wrapText="1"/>
    </xf>
    <xf numFmtId="3" fontId="40" fillId="3" borderId="14" xfId="0" applyNumberFormat="1" applyFont="1" applyFill="1" applyBorder="1" applyAlignment="1">
      <alignment horizontal="center" vertical="center"/>
    </xf>
    <xf numFmtId="3" fontId="40" fillId="0" borderId="15" xfId="0" applyNumberFormat="1" applyFont="1" applyBorder="1" applyAlignment="1">
      <alignment horizontal="center" vertical="center"/>
    </xf>
    <xf numFmtId="3" fontId="40" fillId="0" borderId="14" xfId="0" applyNumberFormat="1" applyFont="1" applyBorder="1" applyAlignment="1">
      <alignment horizontal="center" vertical="center"/>
    </xf>
    <xf numFmtId="0" fontId="40" fillId="0" borderId="4" xfId="0" applyFont="1" applyBorder="1" applyAlignment="1">
      <alignment horizontal="center" vertical="center"/>
    </xf>
    <xf numFmtId="3" fontId="49" fillId="0" borderId="4"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5" fillId="3" borderId="4" xfId="0" applyNumberFormat="1" applyFont="1" applyFill="1" applyBorder="1" applyAlignment="1">
      <alignment horizontal="center" vertical="center"/>
    </xf>
    <xf numFmtId="3" fontId="35" fillId="0" borderId="5" xfId="0" applyNumberFormat="1" applyFont="1" applyBorder="1" applyAlignment="1">
      <alignment horizontal="center" vertical="center"/>
    </xf>
    <xf numFmtId="16" fontId="40" fillId="0" borderId="1" xfId="0" applyNumberFormat="1" applyFont="1" applyBorder="1" applyAlignment="1">
      <alignment horizontal="center" vertical="center"/>
    </xf>
    <xf numFmtId="14" fontId="40" fillId="0" borderId="1" xfId="0" applyNumberFormat="1" applyFont="1" applyBorder="1" applyAlignment="1">
      <alignment horizontal="center" vertical="center" wrapText="1"/>
    </xf>
    <xf numFmtId="3" fontId="32" fillId="0" borderId="4" xfId="0" applyNumberFormat="1" applyFont="1" applyBorder="1" applyAlignment="1">
      <alignment horizontal="center" vertical="center" wrapText="1"/>
    </xf>
    <xf numFmtId="3" fontId="35" fillId="0" borderId="2" xfId="0" applyNumberFormat="1" applyFont="1" applyBorder="1" applyAlignment="1">
      <alignment horizontal="center" vertical="center"/>
    </xf>
    <xf numFmtId="3" fontId="35" fillId="0" borderId="4" xfId="0" applyNumberFormat="1" applyFont="1" applyBorder="1" applyAlignment="1">
      <alignment horizontal="center" vertical="center"/>
    </xf>
    <xf numFmtId="3" fontId="40" fillId="0" borderId="3" xfId="0" applyNumberFormat="1" applyFont="1" applyBorder="1" applyAlignment="1">
      <alignment horizontal="center" vertical="center" wrapText="1"/>
    </xf>
    <xf numFmtId="3" fontId="31" fillId="0" borderId="3" xfId="0" applyNumberFormat="1" applyFont="1" applyBorder="1" applyAlignment="1">
      <alignment horizontal="center" vertical="center" wrapText="1"/>
    </xf>
    <xf numFmtId="3" fontId="40" fillId="3" borderId="3" xfId="0" applyNumberFormat="1" applyFont="1" applyFill="1" applyBorder="1" applyAlignment="1">
      <alignment horizontal="center" vertical="center"/>
    </xf>
    <xf numFmtId="3" fontId="40" fillId="0" borderId="6" xfId="0" applyNumberFormat="1" applyFont="1" applyBorder="1" applyAlignment="1">
      <alignment horizontal="center" vertical="center"/>
    </xf>
    <xf numFmtId="3" fontId="40" fillId="0" borderId="3" xfId="0" applyNumberFormat="1" applyFont="1" applyBorder="1" applyAlignment="1">
      <alignment horizontal="center" vertical="center"/>
    </xf>
    <xf numFmtId="0" fontId="40" fillId="0" borderId="3" xfId="0" applyFont="1" applyBorder="1" applyAlignment="1">
      <alignment horizontal="center" vertical="center"/>
    </xf>
    <xf numFmtId="3" fontId="40" fillId="0" borderId="13" xfId="0" applyNumberFormat="1" applyFont="1" applyBorder="1" applyAlignment="1">
      <alignment horizontal="center" vertical="center" wrapText="1"/>
    </xf>
    <xf numFmtId="3" fontId="49" fillId="0" borderId="1" xfId="0" applyNumberFormat="1" applyFont="1" applyBorder="1" applyAlignment="1">
      <alignment horizontal="center" vertical="center" wrapText="1"/>
    </xf>
    <xf numFmtId="3" fontId="35" fillId="3" borderId="1" xfId="0" applyNumberFormat="1" applyFont="1" applyFill="1" applyBorder="1" applyAlignment="1">
      <alignment horizontal="center" vertical="center"/>
    </xf>
    <xf numFmtId="3" fontId="35" fillId="0" borderId="1" xfId="0" applyNumberFormat="1" applyFont="1" applyBorder="1" applyAlignment="1">
      <alignment horizontal="center" vertical="center"/>
    </xf>
    <xf numFmtId="3" fontId="40" fillId="0" borderId="4" xfId="0" applyNumberFormat="1" applyFont="1" applyBorder="1" applyAlignment="1">
      <alignment horizontal="center" vertical="center" wrapText="1"/>
    </xf>
    <xf numFmtId="3" fontId="40" fillId="0" borderId="5" xfId="0" applyNumberFormat="1" applyFont="1" applyBorder="1" applyAlignment="1">
      <alignment horizontal="center" vertical="center"/>
    </xf>
    <xf numFmtId="3" fontId="40" fillId="0" borderId="16" xfId="0" applyNumberFormat="1" applyFont="1" applyBorder="1" applyAlignment="1">
      <alignment horizontal="center" vertical="center" wrapText="1"/>
    </xf>
    <xf numFmtId="0" fontId="35" fillId="3" borderId="1" xfId="0" applyFont="1" applyFill="1" applyBorder="1" applyAlignment="1">
      <alignment horizontal="center" vertical="center"/>
    </xf>
    <xf numFmtId="4" fontId="35" fillId="3" borderId="1" xfId="0" applyNumberFormat="1" applyFont="1" applyFill="1" applyBorder="1" applyAlignment="1">
      <alignment horizontal="center" vertical="center"/>
    </xf>
    <xf numFmtId="4" fontId="35" fillId="0" borderId="1" xfId="0" applyNumberFormat="1" applyFont="1" applyBorder="1" applyAlignment="1">
      <alignment horizontal="center" vertical="center"/>
    </xf>
    <xf numFmtId="0" fontId="35" fillId="3" borderId="0" xfId="0" applyFont="1" applyFill="1" applyAlignment="1">
      <alignment horizontal="center" vertical="center"/>
    </xf>
    <xf numFmtId="4" fontId="35" fillId="3" borderId="0" xfId="0" applyNumberFormat="1" applyFont="1" applyFill="1" applyAlignment="1">
      <alignment horizontal="center" vertical="center"/>
    </xf>
    <xf numFmtId="4" fontId="35" fillId="0" borderId="0" xfId="0" applyNumberFormat="1" applyFont="1" applyAlignment="1">
      <alignment horizontal="center" vertical="center"/>
    </xf>
    <xf numFmtId="0" fontId="4" fillId="3" borderId="0" xfId="0" applyFont="1" applyFill="1" applyAlignment="1">
      <alignment horizontal="center" vertical="center"/>
    </xf>
    <xf numFmtId="0" fontId="11" fillId="3" borderId="0" xfId="0" applyFont="1" applyFill="1"/>
    <xf numFmtId="0" fontId="11" fillId="3" borderId="0" xfId="0" applyFont="1" applyFill="1" applyAlignment="1">
      <alignment horizontal="center" vertical="center"/>
    </xf>
    <xf numFmtId="0" fontId="1" fillId="3" borderId="1" xfId="0" applyFont="1" applyFill="1" applyBorder="1" applyAlignment="1">
      <alignment horizontal="center" vertical="center"/>
    </xf>
    <xf numFmtId="0" fontId="4" fillId="3" borderId="0" xfId="0" applyFont="1" applyFill="1"/>
    <xf numFmtId="0" fontId="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xf>
    <xf numFmtId="2" fontId="18" fillId="3" borderId="1" xfId="0" applyNumberFormat="1" applyFont="1" applyFill="1" applyBorder="1" applyAlignment="1">
      <alignment horizontal="center" vertical="center"/>
    </xf>
    <xf numFmtId="164" fontId="18" fillId="3" borderId="1" xfId="0" applyNumberFormat="1" applyFont="1" applyFill="1" applyBorder="1" applyAlignment="1">
      <alignment horizontal="center" vertical="center"/>
    </xf>
    <xf numFmtId="2" fontId="18" fillId="3" borderId="3" xfId="0" applyNumberFormat="1" applyFont="1" applyFill="1" applyBorder="1" applyAlignment="1">
      <alignment horizontal="center" vertical="center"/>
    </xf>
    <xf numFmtId="3" fontId="18" fillId="3" borderId="1" xfId="0" applyNumberFormat="1" applyFont="1" applyFill="1" applyBorder="1" applyAlignment="1">
      <alignment horizontal="center" vertical="center"/>
    </xf>
    <xf numFmtId="4" fontId="18" fillId="3" borderId="1" xfId="0" applyNumberFormat="1" applyFont="1" applyFill="1" applyBorder="1" applyAlignment="1">
      <alignment horizontal="center" vertical="center"/>
    </xf>
    <xf numFmtId="0" fontId="46" fillId="3" borderId="0" xfId="0" applyFont="1" applyFill="1"/>
    <xf numFmtId="164" fontId="1" fillId="3" borderId="1" xfId="0" applyNumberFormat="1" applyFont="1" applyFill="1" applyBorder="1" applyAlignment="1">
      <alignment horizontal="center" vertical="center"/>
    </xf>
    <xf numFmtId="2" fontId="1" fillId="3" borderId="3" xfId="0" applyNumberFormat="1" applyFont="1" applyFill="1" applyBorder="1" applyAlignment="1">
      <alignment horizontal="center" vertical="center"/>
    </xf>
    <xf numFmtId="3" fontId="1" fillId="3" borderId="1" xfId="0" applyNumberFormat="1" applyFont="1" applyFill="1" applyBorder="1" applyAlignment="1">
      <alignment horizontal="center" vertical="center"/>
    </xf>
    <xf numFmtId="2" fontId="1" fillId="3" borderId="0" xfId="0" applyNumberFormat="1" applyFont="1" applyFill="1" applyAlignment="1">
      <alignment horizontal="center" vertical="center"/>
    </xf>
    <xf numFmtId="4" fontId="1" fillId="3" borderId="0" xfId="0" applyNumberFormat="1" applyFont="1" applyFill="1" applyAlignment="1">
      <alignment horizontal="center" vertical="center"/>
    </xf>
    <xf numFmtId="2" fontId="11" fillId="3" borderId="0" xfId="0" applyNumberFormat="1" applyFont="1" applyFill="1"/>
    <xf numFmtId="4" fontId="11" fillId="3" borderId="0" xfId="0" applyNumberFormat="1" applyFont="1" applyFill="1"/>
    <xf numFmtId="4" fontId="11" fillId="3" borderId="0" xfId="0" applyNumberFormat="1" applyFont="1" applyFill="1" applyAlignment="1">
      <alignment horizontal="center" vertical="center"/>
    </xf>
    <xf numFmtId="0" fontId="51" fillId="0" borderId="0" xfId="0" applyFont="1"/>
    <xf numFmtId="0" fontId="52" fillId="0" borderId="0" xfId="0" applyFont="1" applyAlignment="1">
      <alignment horizontal="center" vertical="center"/>
    </xf>
    <xf numFmtId="0" fontId="52" fillId="3" borderId="0" xfId="0" applyFont="1" applyFill="1" applyAlignment="1">
      <alignment horizontal="center" vertical="center"/>
    </xf>
    <xf numFmtId="0" fontId="53" fillId="0" borderId="0" xfId="0" applyFont="1" applyAlignment="1">
      <alignment horizontal="center" vertical="center"/>
    </xf>
    <xf numFmtId="0" fontId="53" fillId="0" borderId="0" xfId="0" applyFont="1"/>
    <xf numFmtId="0" fontId="34" fillId="0" borderId="0" xfId="0" applyFont="1" applyAlignment="1">
      <alignment horizontal="center" vertical="center"/>
    </xf>
    <xf numFmtId="0" fontId="31" fillId="3" borderId="1" xfId="0" applyFont="1" applyFill="1" applyBorder="1" applyAlignment="1">
      <alignment horizontal="center" vertical="center"/>
    </xf>
    <xf numFmtId="0" fontId="40" fillId="3" borderId="1" xfId="0" applyFont="1" applyFill="1" applyBorder="1" applyAlignment="1">
      <alignment horizontal="center" vertical="center" wrapText="1"/>
    </xf>
    <xf numFmtId="0" fontId="31" fillId="3" borderId="0" xfId="0" applyFont="1" applyFill="1" applyAlignment="1">
      <alignment horizontal="center" vertical="center" wrapText="1"/>
    </xf>
    <xf numFmtId="0" fontId="31" fillId="3" borderId="2" xfId="0" applyFont="1" applyFill="1" applyBorder="1" applyAlignment="1">
      <alignment horizontal="center" vertical="center" wrapText="1"/>
    </xf>
    <xf numFmtId="3" fontId="31" fillId="3" borderId="1" xfId="0" applyNumberFormat="1" applyFont="1" applyFill="1" applyBorder="1" applyAlignment="1">
      <alignment horizontal="center" vertical="center" wrapText="1"/>
    </xf>
    <xf numFmtId="0" fontId="31" fillId="3" borderId="0" xfId="0" applyFont="1" applyFill="1"/>
    <xf numFmtId="3" fontId="31" fillId="3" borderId="1" xfId="0" applyNumberFormat="1" applyFont="1" applyFill="1" applyBorder="1" applyAlignment="1">
      <alignment horizontal="center" vertical="center"/>
    </xf>
    <xf numFmtId="3" fontId="31" fillId="3" borderId="1" xfId="0" applyNumberFormat="1" applyFont="1" applyFill="1" applyBorder="1"/>
    <xf numFmtId="0" fontId="31" fillId="3" borderId="2" xfId="0" applyFont="1" applyFill="1" applyBorder="1" applyAlignment="1">
      <alignment horizontal="center" vertical="center"/>
    </xf>
    <xf numFmtId="0" fontId="31" fillId="3" borderId="1" xfId="0" applyFont="1" applyFill="1" applyBorder="1"/>
    <xf numFmtId="0" fontId="32" fillId="3" borderId="0" xfId="0" applyFont="1" applyFill="1" applyAlignment="1">
      <alignment horizontal="center" vertical="center"/>
    </xf>
    <xf numFmtId="4" fontId="32" fillId="3" borderId="0" xfId="0" applyNumberFormat="1" applyFont="1" applyFill="1" applyAlignment="1">
      <alignment horizontal="center" vertical="center"/>
    </xf>
    <xf numFmtId="0" fontId="32" fillId="3" borderId="0" xfId="0" applyFont="1" applyFill="1"/>
    <xf numFmtId="0" fontId="51" fillId="0" borderId="0" xfId="0" applyFont="1" applyAlignment="1">
      <alignment horizontal="center" vertical="center"/>
    </xf>
    <xf numFmtId="3" fontId="51" fillId="0" borderId="0" xfId="0" applyNumberFormat="1" applyFont="1" applyAlignment="1">
      <alignment horizontal="center" vertical="center"/>
    </xf>
    <xf numFmtId="0" fontId="51" fillId="0" borderId="0" xfId="0" applyFont="1" applyAlignment="1">
      <alignment horizontal="center" wrapText="1"/>
    </xf>
    <xf numFmtId="0" fontId="55" fillId="0" borderId="0" xfId="0" applyFont="1" applyAlignment="1">
      <alignment horizontal="center" vertical="center"/>
    </xf>
    <xf numFmtId="0" fontId="31" fillId="3" borderId="0" xfId="0" applyFont="1" applyFill="1" applyAlignment="1">
      <alignment horizontal="center" vertical="center"/>
    </xf>
    <xf numFmtId="0" fontId="34" fillId="0" borderId="0" xfId="0" applyFont="1" applyAlignment="1">
      <alignment horizontal="center" vertical="center" wrapText="1"/>
    </xf>
    <xf numFmtId="2" fontId="31" fillId="3" borderId="1" xfId="0" applyNumberFormat="1" applyFont="1" applyFill="1" applyBorder="1" applyAlignment="1">
      <alignment horizontal="center" vertical="center"/>
    </xf>
    <xf numFmtId="0" fontId="45" fillId="3" borderId="0" xfId="0" applyFont="1" applyFill="1" applyAlignment="1">
      <alignment horizontal="center" vertical="center"/>
    </xf>
    <xf numFmtId="3" fontId="45" fillId="3" borderId="0" xfId="0" applyNumberFormat="1" applyFont="1" applyFill="1" applyAlignment="1">
      <alignment horizontal="center" vertical="center"/>
    </xf>
    <xf numFmtId="0" fontId="55" fillId="3" borderId="0" xfId="0" applyFont="1" applyFill="1" applyAlignment="1">
      <alignment horizontal="center" vertical="center"/>
    </xf>
    <xf numFmtId="0" fontId="29" fillId="3" borderId="0" xfId="0" applyFont="1" applyFill="1" applyAlignment="1">
      <alignment horizontal="center" vertical="center"/>
    </xf>
    <xf numFmtId="4" fontId="56" fillId="3" borderId="1" xfId="0" applyNumberFormat="1" applyFont="1" applyFill="1" applyBorder="1" applyAlignment="1">
      <alignment horizontal="center" vertical="center" wrapText="1"/>
    </xf>
    <xf numFmtId="2" fontId="32" fillId="3" borderId="0" xfId="0" applyNumberFormat="1" applyFont="1" applyFill="1" applyAlignment="1">
      <alignment horizontal="center" vertical="center"/>
    </xf>
    <xf numFmtId="0" fontId="52" fillId="0" borderId="0" xfId="0" applyFont="1"/>
    <xf numFmtId="0" fontId="51" fillId="3" borderId="0" xfId="0" applyFont="1" applyFill="1"/>
    <xf numFmtId="0" fontId="45" fillId="0" borderId="0" xfId="0" applyFont="1" applyAlignment="1">
      <alignment horizontal="center"/>
    </xf>
    <xf numFmtId="0" fontId="52" fillId="3" borderId="0" xfId="0" applyFont="1" applyFill="1"/>
    <xf numFmtId="0" fontId="1" fillId="0" borderId="0" xfId="0" applyFont="1" applyAlignment="1">
      <alignment horizontal="center" vertical="center"/>
    </xf>
    <xf numFmtId="0" fontId="1" fillId="4" borderId="0" xfId="0" applyFont="1" applyFill="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0" applyFont="1" applyAlignment="1">
      <alignment horizontal="left" vertical="center" wrapText="1"/>
    </xf>
    <xf numFmtId="0" fontId="1" fillId="3" borderId="0" xfId="0" applyFont="1" applyFill="1" applyAlignment="1">
      <alignment horizontal="center" vertical="center" wrapText="1"/>
    </xf>
    <xf numFmtId="0" fontId="1" fillId="0" borderId="1" xfId="0" applyFont="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50" fillId="2" borderId="0" xfId="0" applyFont="1" applyFill="1" applyAlignment="1">
      <alignment horizontal="center" vertical="center" wrapText="1"/>
    </xf>
    <xf numFmtId="0" fontId="13" fillId="0" borderId="0" xfId="0" applyFont="1" applyAlignment="1">
      <alignment horizontal="center" vertical="center" wrapText="1"/>
    </xf>
    <xf numFmtId="0" fontId="51" fillId="0" borderId="0" xfId="0" applyFont="1" applyAlignment="1">
      <alignment horizontal="center" vertical="center"/>
    </xf>
    <xf numFmtId="0" fontId="34" fillId="0" borderId="0" xfId="0" applyFont="1" applyAlignment="1">
      <alignment horizontal="center" vertical="center"/>
    </xf>
    <xf numFmtId="0" fontId="31" fillId="3" borderId="1"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13"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54" fillId="0" borderId="0" xfId="0" applyFont="1" applyAlignment="1">
      <alignment horizontal="center" vertical="center"/>
    </xf>
    <xf numFmtId="0" fontId="34" fillId="0" borderId="0" xfId="0" applyFont="1" applyAlignment="1">
      <alignment horizontal="left" vertical="center"/>
    </xf>
    <xf numFmtId="0" fontId="31" fillId="3" borderId="3" xfId="0" applyFont="1" applyFill="1" applyBorder="1" applyAlignment="1">
      <alignment horizontal="center" vertical="center"/>
    </xf>
    <xf numFmtId="0" fontId="31" fillId="3" borderId="13" xfId="0" applyFont="1" applyFill="1" applyBorder="1" applyAlignment="1">
      <alignment horizontal="center" vertical="center"/>
    </xf>
    <xf numFmtId="0" fontId="31" fillId="3" borderId="4" xfId="0" applyFont="1" applyFill="1" applyBorder="1" applyAlignment="1">
      <alignment horizontal="center" vertical="center"/>
    </xf>
    <xf numFmtId="0" fontId="31" fillId="3" borderId="1" xfId="0" applyFont="1" applyFill="1" applyBorder="1" applyAlignment="1">
      <alignment horizontal="center" vertical="center"/>
    </xf>
    <xf numFmtId="0" fontId="54" fillId="0" borderId="0" xfId="0" applyFont="1" applyAlignment="1">
      <alignment horizontal="center"/>
    </xf>
    <xf numFmtId="0" fontId="40" fillId="3" borderId="2" xfId="0" applyFont="1" applyFill="1" applyBorder="1" applyAlignment="1">
      <alignment horizontal="center" vertical="center" wrapText="1"/>
    </xf>
    <xf numFmtId="0" fontId="40" fillId="3" borderId="11" xfId="0" applyFont="1" applyFill="1" applyBorder="1" applyAlignment="1">
      <alignment horizontal="center" vertical="center" wrapText="1"/>
    </xf>
    <xf numFmtId="0" fontId="40" fillId="3" borderId="12" xfId="0" applyFont="1" applyFill="1" applyBorder="1" applyAlignment="1">
      <alignment horizontal="center" vertical="center" wrapText="1"/>
    </xf>
    <xf numFmtId="0" fontId="40" fillId="3" borderId="1"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11" xfId="0" applyFont="1" applyFill="1" applyBorder="1" applyAlignment="1">
      <alignment horizontal="center" vertical="center" wrapText="1"/>
    </xf>
    <xf numFmtId="0" fontId="31" fillId="3" borderId="12" xfId="0" applyFont="1" applyFill="1" applyBorder="1" applyAlignment="1">
      <alignment horizontal="center" vertical="center" wrapText="1"/>
    </xf>
    <xf numFmtId="0" fontId="13" fillId="0" borderId="0" xfId="0" applyFont="1" applyAlignment="1">
      <alignment horizontal="center" vertical="center"/>
    </xf>
    <xf numFmtId="0" fontId="13" fillId="2" borderId="0" xfId="0" applyFont="1" applyFill="1" applyAlignment="1">
      <alignment horizontal="center" vertical="center" wrapText="1"/>
    </xf>
    <xf numFmtId="0" fontId="40"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1" xfId="0" applyFont="1" applyBorder="1" applyAlignment="1">
      <alignment horizontal="center" vertical="center" wrapText="1"/>
    </xf>
    <xf numFmtId="0" fontId="34" fillId="0" borderId="0" xfId="0" applyFont="1" applyAlignment="1">
      <alignment horizontal="center"/>
    </xf>
    <xf numFmtId="0" fontId="40" fillId="0" borderId="2"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applyFont="1" applyBorder="1" applyAlignment="1">
      <alignment horizontal="center" vertical="center" wrapText="1"/>
    </xf>
    <xf numFmtId="0" fontId="6" fillId="0" borderId="0" xfId="0" applyFont="1" applyAlignment="1">
      <alignment horizontal="center" vertical="center"/>
    </xf>
    <xf numFmtId="0" fontId="31" fillId="0" borderId="2"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0" fontId="40" fillId="0" borderId="3"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4" xfId="0" applyFont="1" applyBorder="1" applyAlignment="1">
      <alignment horizontal="center" vertical="center" wrapText="1"/>
    </xf>
    <xf numFmtId="0" fontId="44"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2" borderId="0" xfId="0" applyFont="1" applyFill="1" applyAlignment="1">
      <alignment horizontal="center" vertical="center" wrapText="1"/>
    </xf>
    <xf numFmtId="0" fontId="45" fillId="0" borderId="3"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4"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12" xfId="0" applyFont="1" applyBorder="1" applyAlignment="1">
      <alignment horizontal="center" vertical="center" wrapText="1"/>
    </xf>
    <xf numFmtId="0" fontId="10" fillId="0" borderId="0" xfId="0" applyFont="1" applyAlignment="1">
      <alignment horizontal="center"/>
    </xf>
    <xf numFmtId="0" fontId="7" fillId="0" borderId="0" xfId="0" applyFont="1" applyAlignment="1">
      <alignment horizontal="left" vertical="center"/>
    </xf>
    <xf numFmtId="0" fontId="42" fillId="0" borderId="0" xfId="0" applyFont="1" applyAlignment="1">
      <alignment horizontal="center" vertical="center" wrapText="1"/>
    </xf>
    <xf numFmtId="0" fontId="5" fillId="0" borderId="0" xfId="0" applyFont="1" applyAlignment="1">
      <alignment horizontal="lef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3" borderId="3"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6" fillId="0" borderId="0" xfId="0" applyFont="1" applyAlignment="1">
      <alignment horizontal="center"/>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43" fillId="0" borderId="0" xfId="0" applyFont="1" applyAlignment="1">
      <alignment horizontal="center" vertical="center"/>
    </xf>
    <xf numFmtId="0" fontId="42" fillId="0" borderId="0" xfId="0" applyFont="1" applyAlignment="1">
      <alignment horizontal="center" vertical="center"/>
    </xf>
    <xf numFmtId="0" fontId="42" fillId="2" borderId="0" xfId="0" applyFont="1" applyFill="1" applyAlignment="1">
      <alignment horizontal="center" vertical="center" wrapText="1"/>
    </xf>
    <xf numFmtId="0" fontId="44" fillId="0" borderId="0" xfId="0" applyFont="1" applyAlignment="1">
      <alignment horizontal="left" vertical="center"/>
    </xf>
    <xf numFmtId="0" fontId="35" fillId="0" borderId="1" xfId="0" applyFont="1" applyBorder="1" applyAlignment="1">
      <alignment horizontal="center" vertical="center" wrapText="1"/>
    </xf>
    <xf numFmtId="0" fontId="35" fillId="5" borderId="2" xfId="0" applyFont="1" applyFill="1" applyBorder="1" applyAlignment="1">
      <alignment horizontal="center" vertical="center" wrapText="1"/>
    </xf>
    <xf numFmtId="0" fontId="35" fillId="5" borderId="11" xfId="0" applyFont="1" applyFill="1" applyBorder="1" applyAlignment="1">
      <alignment horizontal="center" vertical="center" wrapText="1"/>
    </xf>
    <xf numFmtId="0" fontId="35" fillId="5" borderId="12" xfId="0" applyFont="1" applyFill="1" applyBorder="1" applyAlignment="1">
      <alignment horizontal="center" vertical="center" wrapText="1"/>
    </xf>
    <xf numFmtId="3" fontId="35" fillId="5" borderId="2" xfId="0" applyNumberFormat="1" applyFont="1" applyFill="1" applyBorder="1" applyAlignment="1">
      <alignment horizontal="center" vertical="center" wrapText="1"/>
    </xf>
    <xf numFmtId="3" fontId="35" fillId="5" borderId="11" xfId="0" applyNumberFormat="1" applyFont="1" applyFill="1" applyBorder="1" applyAlignment="1">
      <alignment horizontal="center" vertical="center" wrapText="1"/>
    </xf>
    <xf numFmtId="3" fontId="35" fillId="5" borderId="12" xfId="0" applyNumberFormat="1" applyFont="1" applyFill="1" applyBorder="1" applyAlignment="1">
      <alignment horizontal="center" vertical="center" wrapText="1"/>
    </xf>
    <xf numFmtId="3" fontId="35" fillId="5"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27"/>
  <sheetViews>
    <sheetView tabSelected="1" zoomScale="70" zoomScaleNormal="70" workbookViewId="0">
      <selection activeCell="L3" sqref="L3"/>
    </sheetView>
  </sheetViews>
  <sheetFormatPr defaultRowHeight="19.5" x14ac:dyDescent="0.35"/>
  <cols>
    <col min="1" max="1" width="4.875" style="23" customWidth="1"/>
    <col min="2" max="2" width="34" style="77" customWidth="1"/>
    <col min="3" max="3" width="11.25" style="23" customWidth="1"/>
    <col min="4" max="4" width="14" style="23" customWidth="1"/>
    <col min="5" max="5" width="52.25" style="77" customWidth="1"/>
    <col min="6" max="6" width="16.875" style="77" customWidth="1"/>
    <col min="7" max="7" width="18" style="77" customWidth="1"/>
    <col min="8" max="8" width="15.375" style="77" customWidth="1"/>
    <col min="9" max="9" width="14" style="79" customWidth="1"/>
    <col min="10" max="10" width="19.5" style="77" customWidth="1"/>
    <col min="11" max="13" width="16.625" style="37" customWidth="1"/>
    <col min="14" max="26" width="16.625" style="218" customWidth="1"/>
    <col min="27" max="58" width="16.625" style="219" customWidth="1"/>
    <col min="59" max="74" width="16.625" style="220" customWidth="1"/>
    <col min="75" max="76" width="9" style="219"/>
    <col min="77" max="16384" width="9" style="77"/>
  </cols>
  <sheetData>
    <row r="1" spans="1:76" ht="36" customHeight="1" x14ac:dyDescent="0.35">
      <c r="A1" s="276" t="s">
        <v>61</v>
      </c>
      <c r="B1" s="276"/>
      <c r="C1" s="276"/>
      <c r="D1" s="276"/>
      <c r="E1" s="276"/>
      <c r="F1" s="276"/>
      <c r="G1" s="276"/>
      <c r="H1" s="276"/>
      <c r="I1" s="276"/>
      <c r="J1" s="276"/>
    </row>
    <row r="2" spans="1:76" ht="51.75" customHeight="1" x14ac:dyDescent="0.35">
      <c r="A2" s="277" t="s">
        <v>0</v>
      </c>
      <c r="B2" s="277"/>
      <c r="C2" s="277"/>
      <c r="D2" s="277"/>
      <c r="E2" s="277"/>
      <c r="F2" s="277"/>
      <c r="G2" s="277"/>
      <c r="H2" s="277"/>
      <c r="I2" s="277"/>
      <c r="J2" s="277"/>
    </row>
    <row r="3" spans="1:76" ht="75" customHeight="1" x14ac:dyDescent="0.35">
      <c r="A3" s="278" t="s">
        <v>5</v>
      </c>
      <c r="B3" s="278"/>
      <c r="C3" s="278"/>
      <c r="D3" s="278"/>
      <c r="E3" s="278"/>
      <c r="F3" s="278"/>
      <c r="G3" s="278"/>
      <c r="H3" s="278"/>
      <c r="I3" s="278"/>
      <c r="J3" s="278"/>
    </row>
    <row r="4" spans="1:76" ht="160.5" customHeight="1" x14ac:dyDescent="0.35">
      <c r="A4" s="279" t="s">
        <v>87</v>
      </c>
      <c r="B4" s="279"/>
      <c r="C4" s="279"/>
      <c r="D4" s="279"/>
      <c r="E4" s="279"/>
      <c r="F4" s="279"/>
      <c r="G4" s="279"/>
      <c r="H4" s="279"/>
      <c r="I4" s="279"/>
      <c r="J4" s="279"/>
    </row>
    <row r="5" spans="1:76" s="48" customFormat="1" ht="44.25" customHeight="1" x14ac:dyDescent="0.35">
      <c r="A5" s="288" t="s">
        <v>60</v>
      </c>
      <c r="B5" s="288"/>
      <c r="C5" s="288"/>
      <c r="D5" s="288"/>
      <c r="E5" s="288"/>
      <c r="F5" s="288" t="s">
        <v>67</v>
      </c>
      <c r="G5" s="288"/>
      <c r="H5" s="288"/>
      <c r="I5" s="288"/>
      <c r="J5" s="288"/>
      <c r="K5" s="291" t="s">
        <v>290</v>
      </c>
      <c r="L5" s="291"/>
      <c r="M5" s="291"/>
      <c r="N5" s="291"/>
      <c r="O5" s="291"/>
      <c r="P5" s="291"/>
      <c r="Q5" s="291"/>
      <c r="R5" s="291"/>
      <c r="S5" s="291"/>
      <c r="T5" s="291"/>
      <c r="U5" s="291"/>
      <c r="V5" s="291"/>
      <c r="W5" s="291"/>
      <c r="X5" s="291"/>
      <c r="Y5" s="291"/>
      <c r="Z5" s="291"/>
      <c r="AA5" s="293" t="s">
        <v>296</v>
      </c>
      <c r="AB5" s="293"/>
      <c r="AC5" s="293"/>
      <c r="AD5" s="293"/>
      <c r="AE5" s="293"/>
      <c r="AF5" s="293"/>
      <c r="AG5" s="293"/>
      <c r="AH5" s="293"/>
      <c r="AI5" s="293"/>
      <c r="AJ5" s="293"/>
      <c r="AK5" s="293"/>
      <c r="AL5" s="293"/>
      <c r="AM5" s="293"/>
      <c r="AN5" s="293"/>
      <c r="AO5" s="293"/>
      <c r="AP5" s="293"/>
      <c r="AQ5" s="293" t="s">
        <v>362</v>
      </c>
      <c r="AR5" s="293"/>
      <c r="AS5" s="293"/>
      <c r="AT5" s="293"/>
      <c r="AU5" s="293"/>
      <c r="AV5" s="293"/>
      <c r="AW5" s="293"/>
      <c r="AX5" s="293"/>
      <c r="AY5" s="293"/>
      <c r="AZ5" s="293"/>
      <c r="BA5" s="293"/>
      <c r="BB5" s="293"/>
      <c r="BC5" s="293"/>
      <c r="BD5" s="293"/>
      <c r="BE5" s="293"/>
      <c r="BF5" s="293"/>
      <c r="BG5" s="293" t="s">
        <v>418</v>
      </c>
      <c r="BH5" s="293"/>
      <c r="BI5" s="293"/>
      <c r="BJ5" s="293"/>
      <c r="BK5" s="293"/>
      <c r="BL5" s="293"/>
      <c r="BM5" s="293"/>
      <c r="BN5" s="293"/>
      <c r="BO5" s="293"/>
      <c r="BP5" s="293"/>
      <c r="BQ5" s="293"/>
      <c r="BR5" s="293"/>
      <c r="BS5" s="293"/>
      <c r="BT5" s="293"/>
      <c r="BU5" s="293"/>
      <c r="BV5" s="293"/>
      <c r="BW5" s="222"/>
      <c r="BX5" s="222"/>
    </row>
    <row r="6" spans="1:76" s="48" customFormat="1" ht="54.95" customHeight="1" x14ac:dyDescent="0.35">
      <c r="A6" s="282" t="s">
        <v>10</v>
      </c>
      <c r="B6" s="283"/>
      <c r="C6" s="283"/>
      <c r="D6" s="283"/>
      <c r="E6" s="284"/>
      <c r="F6" s="287" t="s">
        <v>11</v>
      </c>
      <c r="G6" s="287"/>
      <c r="H6" s="287"/>
      <c r="I6" s="287"/>
      <c r="J6" s="287"/>
      <c r="K6" s="291" t="s">
        <v>7</v>
      </c>
      <c r="L6" s="291"/>
      <c r="M6" s="291"/>
      <c r="N6" s="291"/>
      <c r="O6" s="292" t="s">
        <v>12</v>
      </c>
      <c r="P6" s="292"/>
      <c r="Q6" s="292"/>
      <c r="R6" s="292"/>
      <c r="S6" s="292" t="s">
        <v>40</v>
      </c>
      <c r="T6" s="292"/>
      <c r="U6" s="292"/>
      <c r="V6" s="292"/>
      <c r="W6" s="292" t="s">
        <v>41</v>
      </c>
      <c r="X6" s="292"/>
      <c r="Y6" s="292"/>
      <c r="Z6" s="292"/>
      <c r="AA6" s="293" t="s">
        <v>7</v>
      </c>
      <c r="AB6" s="293"/>
      <c r="AC6" s="293"/>
      <c r="AD6" s="293"/>
      <c r="AE6" s="293" t="s">
        <v>12</v>
      </c>
      <c r="AF6" s="293"/>
      <c r="AG6" s="293"/>
      <c r="AH6" s="293"/>
      <c r="AI6" s="293" t="s">
        <v>40</v>
      </c>
      <c r="AJ6" s="293"/>
      <c r="AK6" s="293"/>
      <c r="AL6" s="293"/>
      <c r="AM6" s="293" t="s">
        <v>41</v>
      </c>
      <c r="AN6" s="293"/>
      <c r="AO6" s="293"/>
      <c r="AP6" s="293"/>
      <c r="AQ6" s="292" t="s">
        <v>7</v>
      </c>
      <c r="AR6" s="292"/>
      <c r="AS6" s="292"/>
      <c r="AT6" s="292"/>
      <c r="AU6" s="292" t="s">
        <v>12</v>
      </c>
      <c r="AV6" s="292"/>
      <c r="AW6" s="292"/>
      <c r="AX6" s="292"/>
      <c r="AY6" s="292" t="s">
        <v>40</v>
      </c>
      <c r="AZ6" s="292"/>
      <c r="BA6" s="292"/>
      <c r="BB6" s="292"/>
      <c r="BC6" s="292" t="s">
        <v>41</v>
      </c>
      <c r="BD6" s="292"/>
      <c r="BE6" s="292"/>
      <c r="BF6" s="292"/>
      <c r="BG6" s="292" t="s">
        <v>7</v>
      </c>
      <c r="BH6" s="292"/>
      <c r="BI6" s="292"/>
      <c r="BJ6" s="292"/>
      <c r="BK6" s="292" t="s">
        <v>12</v>
      </c>
      <c r="BL6" s="292"/>
      <c r="BM6" s="292"/>
      <c r="BN6" s="292"/>
      <c r="BO6" s="292" t="s">
        <v>40</v>
      </c>
      <c r="BP6" s="292"/>
      <c r="BQ6" s="292"/>
      <c r="BR6" s="292"/>
      <c r="BS6" s="292" t="s">
        <v>41</v>
      </c>
      <c r="BT6" s="292"/>
      <c r="BU6" s="292"/>
      <c r="BV6" s="292"/>
      <c r="BW6" s="222"/>
      <c r="BX6" s="222"/>
    </row>
    <row r="7" spans="1:76" s="48" customFormat="1" ht="54.95" customHeight="1" x14ac:dyDescent="0.35">
      <c r="A7" s="285"/>
      <c r="B7" s="279"/>
      <c r="C7" s="279"/>
      <c r="D7" s="279"/>
      <c r="E7" s="286"/>
      <c r="F7" s="76" t="s">
        <v>7</v>
      </c>
      <c r="G7" s="76" t="s">
        <v>12</v>
      </c>
      <c r="H7" s="76" t="s">
        <v>40</v>
      </c>
      <c r="I7" s="76" t="s">
        <v>41</v>
      </c>
      <c r="J7" s="76" t="s">
        <v>13</v>
      </c>
      <c r="K7" s="76" t="s">
        <v>285</v>
      </c>
      <c r="L7" s="76" t="s">
        <v>286</v>
      </c>
      <c r="M7" s="76" t="s">
        <v>287</v>
      </c>
      <c r="N7" s="223" t="s">
        <v>13</v>
      </c>
      <c r="O7" s="223" t="s">
        <v>285</v>
      </c>
      <c r="P7" s="223" t="s">
        <v>286</v>
      </c>
      <c r="Q7" s="223" t="s">
        <v>287</v>
      </c>
      <c r="R7" s="223" t="s">
        <v>13</v>
      </c>
      <c r="S7" s="223" t="s">
        <v>285</v>
      </c>
      <c r="T7" s="223" t="s">
        <v>286</v>
      </c>
      <c r="U7" s="223" t="s">
        <v>287</v>
      </c>
      <c r="V7" s="223" t="s">
        <v>13</v>
      </c>
      <c r="W7" s="223" t="s">
        <v>285</v>
      </c>
      <c r="X7" s="223" t="s">
        <v>286</v>
      </c>
      <c r="Y7" s="223" t="s">
        <v>287</v>
      </c>
      <c r="Z7" s="223" t="s">
        <v>13</v>
      </c>
      <c r="AA7" s="223" t="s">
        <v>297</v>
      </c>
      <c r="AB7" s="223" t="s">
        <v>298</v>
      </c>
      <c r="AC7" s="223" t="s">
        <v>299</v>
      </c>
      <c r="AD7" s="223" t="s">
        <v>13</v>
      </c>
      <c r="AE7" s="223" t="s">
        <v>297</v>
      </c>
      <c r="AF7" s="223" t="s">
        <v>298</v>
      </c>
      <c r="AG7" s="223" t="s">
        <v>299</v>
      </c>
      <c r="AH7" s="223" t="s">
        <v>13</v>
      </c>
      <c r="AI7" s="223" t="s">
        <v>297</v>
      </c>
      <c r="AJ7" s="223" t="s">
        <v>298</v>
      </c>
      <c r="AK7" s="223" t="s">
        <v>299</v>
      </c>
      <c r="AL7" s="223" t="s">
        <v>13</v>
      </c>
      <c r="AM7" s="223" t="s">
        <v>297</v>
      </c>
      <c r="AN7" s="223" t="s">
        <v>298</v>
      </c>
      <c r="AO7" s="223" t="s">
        <v>299</v>
      </c>
      <c r="AP7" s="223" t="s">
        <v>13</v>
      </c>
      <c r="AQ7" s="223" t="s">
        <v>363</v>
      </c>
      <c r="AR7" s="223" t="s">
        <v>364</v>
      </c>
      <c r="AS7" s="223" t="s">
        <v>365</v>
      </c>
      <c r="AT7" s="223" t="s">
        <v>13</v>
      </c>
      <c r="AU7" s="223" t="s">
        <v>363</v>
      </c>
      <c r="AV7" s="223" t="s">
        <v>364</v>
      </c>
      <c r="AW7" s="223" t="s">
        <v>365</v>
      </c>
      <c r="AX7" s="223" t="s">
        <v>13</v>
      </c>
      <c r="AY7" s="223" t="s">
        <v>363</v>
      </c>
      <c r="AZ7" s="223" t="s">
        <v>364</v>
      </c>
      <c r="BA7" s="223" t="s">
        <v>365</v>
      </c>
      <c r="BB7" s="223" t="s">
        <v>13</v>
      </c>
      <c r="BC7" s="223" t="s">
        <v>363</v>
      </c>
      <c r="BD7" s="223" t="s">
        <v>364</v>
      </c>
      <c r="BE7" s="223" t="s">
        <v>365</v>
      </c>
      <c r="BF7" s="223" t="s">
        <v>13</v>
      </c>
      <c r="BG7" s="221" t="s">
        <v>415</v>
      </c>
      <c r="BH7" s="224" t="s">
        <v>416</v>
      </c>
      <c r="BI7" s="225" t="s">
        <v>417</v>
      </c>
      <c r="BJ7" s="221" t="s">
        <v>13</v>
      </c>
      <c r="BK7" s="221" t="s">
        <v>415</v>
      </c>
      <c r="BL7" s="224" t="s">
        <v>416</v>
      </c>
      <c r="BM7" s="225" t="s">
        <v>417</v>
      </c>
      <c r="BN7" s="221" t="s">
        <v>13</v>
      </c>
      <c r="BO7" s="221" t="s">
        <v>415</v>
      </c>
      <c r="BP7" s="224" t="s">
        <v>416</v>
      </c>
      <c r="BQ7" s="225" t="s">
        <v>417</v>
      </c>
      <c r="BR7" s="221" t="s">
        <v>13</v>
      </c>
      <c r="BS7" s="221" t="s">
        <v>415</v>
      </c>
      <c r="BT7" s="224" t="s">
        <v>416</v>
      </c>
      <c r="BU7" s="225" t="s">
        <v>417</v>
      </c>
      <c r="BV7" s="221" t="s">
        <v>13</v>
      </c>
      <c r="BW7" s="222"/>
      <c r="BX7" s="222"/>
    </row>
    <row r="8" spans="1:76" s="150" customFormat="1" ht="38.450000000000003" customHeight="1" x14ac:dyDescent="0.35">
      <c r="A8" s="147">
        <v>1</v>
      </c>
      <c r="B8" s="280" t="s">
        <v>21</v>
      </c>
      <c r="C8" s="280"/>
      <c r="D8" s="280"/>
      <c r="E8" s="280"/>
      <c r="F8" s="52">
        <f>'ეკონ.და ბიზნ.ფაკულ'!D27</f>
        <v>1477559</v>
      </c>
      <c r="G8" s="53">
        <f>'ეკონ.და ბიზნ.ფაკულ'!E27</f>
        <v>30920</v>
      </c>
      <c r="H8" s="53">
        <f>'ეკონ.და ბიზნ.ფაკულ'!F27</f>
        <v>0</v>
      </c>
      <c r="I8" s="53">
        <f>'ეკონ.და ბიზნ.ფაკულ'!G27</f>
        <v>0</v>
      </c>
      <c r="J8" s="52">
        <f>F8+G8+H8+I8</f>
        <v>1508479</v>
      </c>
      <c r="K8" s="148">
        <f>'ეკონ.და ბიზნ.ფაკულ'!J27</f>
        <v>95519.11</v>
      </c>
      <c r="L8" s="148">
        <f>'ეკონ.და ბიზნ.ფაკულ'!K27</f>
        <v>82223.199999999997</v>
      </c>
      <c r="M8" s="148">
        <f>'ეკონ.და ბიზნ.ფაკულ'!L27</f>
        <v>97716.900000000023</v>
      </c>
      <c r="N8" s="226">
        <f>K8+L8+M8</f>
        <v>275459.21000000002</v>
      </c>
      <c r="O8" s="227">
        <v>0</v>
      </c>
      <c r="P8" s="227">
        <v>0</v>
      </c>
      <c r="Q8" s="227">
        <v>0</v>
      </c>
      <c r="R8" s="227">
        <f>O8+P8+Q8</f>
        <v>0</v>
      </c>
      <c r="S8" s="227">
        <v>0</v>
      </c>
      <c r="T8" s="227">
        <v>0</v>
      </c>
      <c r="U8" s="227">
        <v>0</v>
      </c>
      <c r="V8" s="227">
        <f>U8+T8+S8</f>
        <v>0</v>
      </c>
      <c r="W8" s="227">
        <v>0</v>
      </c>
      <c r="X8" s="227">
        <v>0</v>
      </c>
      <c r="Y8" s="227">
        <v>0</v>
      </c>
      <c r="Z8" s="227">
        <f>W8+X8+Y8</f>
        <v>0</v>
      </c>
      <c r="AA8" s="226">
        <f>'ეკონ.და ბიზნ.ფაკულ'!N27</f>
        <v>84969.43</v>
      </c>
      <c r="AB8" s="226">
        <f>'ეკონ.და ბიზნ.ფაკულ'!O27</f>
        <v>101636.46999999997</v>
      </c>
      <c r="AC8" s="226">
        <f>'ეკონ.და ბიზნ.ფაკულ'!P27</f>
        <v>98293.38</v>
      </c>
      <c r="AD8" s="226">
        <f>AA8+AB8+AC8</f>
        <v>284899.27999999997</v>
      </c>
      <c r="AE8" s="226">
        <v>0</v>
      </c>
      <c r="AF8" s="228">
        <v>0</v>
      </c>
      <c r="AG8" s="226">
        <v>0</v>
      </c>
      <c r="AH8" s="226">
        <f>AE8+AF8+AG8</f>
        <v>0</v>
      </c>
      <c r="AI8" s="226">
        <v>0</v>
      </c>
      <c r="AJ8" s="226">
        <v>0</v>
      </c>
      <c r="AK8" s="226">
        <v>0</v>
      </c>
      <c r="AL8" s="226">
        <f>AI8+AJ8+AK8</f>
        <v>0</v>
      </c>
      <c r="AM8" s="226">
        <v>0</v>
      </c>
      <c r="AN8" s="226">
        <v>0</v>
      </c>
      <c r="AO8" s="226">
        <v>0</v>
      </c>
      <c r="AP8" s="226">
        <f>AM8+AN8+AO8</f>
        <v>0</v>
      </c>
      <c r="AQ8" s="229">
        <f>'ეკონ.და ბიზნ.ფაკულ'!R27</f>
        <v>244349</v>
      </c>
      <c r="AR8" s="229">
        <f>'ეკონ.და ბიზნ.ფაკულ'!T27</f>
        <v>13648.660000000003</v>
      </c>
      <c r="AS8" s="229">
        <f>'ეკონ.და ბიზნ.ფაკულ'!V27</f>
        <v>81668.850000000006</v>
      </c>
      <c r="AT8" s="230">
        <f>AQ8+AR8+AS8</f>
        <v>339666.51</v>
      </c>
      <c r="AU8" s="230">
        <f>'ეკონ.და ბიზნ.ფაკულ'!S27</f>
        <v>0</v>
      </c>
      <c r="AV8" s="230">
        <f>'ეკონ.და ბიზნ.ფაკულ'!U27</f>
        <v>2000</v>
      </c>
      <c r="AW8" s="230">
        <f>'ეკონ.და ბიზნ.ფაკულ'!W27</f>
        <v>6375</v>
      </c>
      <c r="AX8" s="230">
        <f>AU8+AV8+AW8</f>
        <v>8375</v>
      </c>
      <c r="AY8" s="230">
        <v>0</v>
      </c>
      <c r="AZ8" s="230">
        <v>0</v>
      </c>
      <c r="BA8" s="230">
        <v>0</v>
      </c>
      <c r="BB8" s="230">
        <f>AY8+AZ8+BA8</f>
        <v>0</v>
      </c>
      <c r="BC8" s="230">
        <v>0</v>
      </c>
      <c r="BD8" s="230">
        <v>0</v>
      </c>
      <c r="BE8" s="230">
        <v>0</v>
      </c>
      <c r="BF8" s="230">
        <f>BC8+BD8+BE8</f>
        <v>0</v>
      </c>
      <c r="BG8" s="230">
        <f>'ეკონ.და ბიზნ.ფაკულ'!Z27</f>
        <v>93360.600000000064</v>
      </c>
      <c r="BH8" s="230">
        <f>'ეკონ.და ბიზნ.ფაკულ'!AB27</f>
        <v>83845.709999999963</v>
      </c>
      <c r="BI8" s="230">
        <f>'ეკონ.და ბიზნ.ფაკულ'!AD27</f>
        <v>109792.30999999997</v>
      </c>
      <c r="BJ8" s="230">
        <f>BG8+BH8+BI8</f>
        <v>286998.62</v>
      </c>
      <c r="BK8" s="230">
        <f>'ეკონ.და ბიზნ.ფაკულ'!AA27</f>
        <v>3826.16</v>
      </c>
      <c r="BL8" s="230">
        <f>'ეკონ.და ბიზნ.ფაკულ'!AC27</f>
        <v>7420</v>
      </c>
      <c r="BM8" s="230">
        <f>'ეკონ.და ბიზნ.ფაკულ'!AE27</f>
        <v>8420</v>
      </c>
      <c r="BN8" s="230">
        <f>BK8+BL8+BM8</f>
        <v>19666.16</v>
      </c>
      <c r="BO8" s="230">
        <v>0</v>
      </c>
      <c r="BP8" s="230">
        <v>0</v>
      </c>
      <c r="BQ8" s="230">
        <v>0</v>
      </c>
      <c r="BR8" s="230">
        <f>BO8+BP8+BQ8</f>
        <v>0</v>
      </c>
      <c r="BS8" s="230">
        <v>0</v>
      </c>
      <c r="BT8" s="230">
        <v>0</v>
      </c>
      <c r="BU8" s="230">
        <v>0</v>
      </c>
      <c r="BV8" s="230">
        <f>BS8+BT8+BU8</f>
        <v>0</v>
      </c>
      <c r="BW8" s="231"/>
      <c r="BX8" s="231"/>
    </row>
    <row r="9" spans="1:76" s="48" customFormat="1" ht="27" customHeight="1" x14ac:dyDescent="0.35">
      <c r="A9" s="51">
        <v>2</v>
      </c>
      <c r="B9" s="287" t="s">
        <v>26</v>
      </c>
      <c r="C9" s="287"/>
      <c r="D9" s="287"/>
      <c r="E9" s="287"/>
      <c r="F9" s="53">
        <f>'საბუნ.მეცნ.და ჯანდაც.ფაკულტ'!D26</f>
        <v>4194890</v>
      </c>
      <c r="G9" s="53">
        <f>'საბუნ.მეცნ.და ჯანდაც.ფაკულტ'!E26</f>
        <v>25750</v>
      </c>
      <c r="H9" s="53">
        <f>'საბუნ.მეცნ.და ჯანდაც.ფაკულტ'!F26</f>
        <v>0</v>
      </c>
      <c r="I9" s="53">
        <f>'საბუნ.მეცნ.და ჯანდაც.ფაკულტ'!G26</f>
        <v>0</v>
      </c>
      <c r="J9" s="54">
        <f t="shared" ref="J9:J19" si="0">F9+G9+H9+I9</f>
        <v>4220640</v>
      </c>
      <c r="K9" s="56">
        <f>'საბუნ.მეცნ.და ჯანდაც.ფაკულტ'!J26</f>
        <v>286230.46999999997</v>
      </c>
      <c r="L9" s="56">
        <f>'საბუნ.მეცნ.და ჯანდაც.ფაკულტ'!L26</f>
        <v>311022.46999999997</v>
      </c>
      <c r="M9" s="56">
        <f>'საბუნ.მეცნ.და ჯანდაც.ფაკულტ'!N26</f>
        <v>212085.81000000003</v>
      </c>
      <c r="N9" s="224">
        <f t="shared" ref="N9:N19" si="1">K9+L9+M9</f>
        <v>809338.75</v>
      </c>
      <c r="O9" s="232">
        <f>'საბუნ.მეცნ.და ჯანდაც.ფაკულტ'!K26</f>
        <v>0</v>
      </c>
      <c r="P9" s="232">
        <f>'საბუნ.მეცნ.და ჯანდაც.ფაკულტ'!M26</f>
        <v>0</v>
      </c>
      <c r="Q9" s="232">
        <f>'საბუნ.მეცნ.და ჯანდაც.ფაკულტ'!O26</f>
        <v>0</v>
      </c>
      <c r="R9" s="232">
        <f t="shared" ref="R9:R19" si="2">O9+P9+Q9</f>
        <v>0</v>
      </c>
      <c r="S9" s="232">
        <v>0</v>
      </c>
      <c r="T9" s="232">
        <v>0</v>
      </c>
      <c r="U9" s="232">
        <v>0</v>
      </c>
      <c r="V9" s="232">
        <f t="shared" ref="V9:V19" si="3">U9+T9+S9</f>
        <v>0</v>
      </c>
      <c r="W9" s="232">
        <v>0</v>
      </c>
      <c r="X9" s="232">
        <v>0</v>
      </c>
      <c r="Y9" s="232">
        <v>0</v>
      </c>
      <c r="Z9" s="232">
        <f t="shared" ref="Z9:Z19" si="4">W9+X9+Y9</f>
        <v>0</v>
      </c>
      <c r="AA9" s="224">
        <f>'საბუნ.მეცნ.და ჯანდაც.ფაკულტ'!R26</f>
        <v>249036.14000000004</v>
      </c>
      <c r="AB9" s="224">
        <f>'საბუნ.მეცნ.და ჯანდაც.ფაკულტ'!T26</f>
        <v>367802.44000000006</v>
      </c>
      <c r="AC9" s="224">
        <f>'საბუნ.მეცნ.და ჯანდაც.ფაკულტ'!V26</f>
        <v>348267</v>
      </c>
      <c r="AD9" s="224">
        <f t="shared" ref="AD9:AD19" si="5">AA9+AB9+AC9</f>
        <v>965105.58000000007</v>
      </c>
      <c r="AE9" s="224">
        <v>0</v>
      </c>
      <c r="AF9" s="233">
        <v>0</v>
      </c>
      <c r="AG9" s="224">
        <v>0</v>
      </c>
      <c r="AH9" s="224">
        <f t="shared" ref="AH9:AH19" si="6">AE9+AF9+AG9</f>
        <v>0</v>
      </c>
      <c r="AI9" s="224">
        <v>0</v>
      </c>
      <c r="AJ9" s="224">
        <v>0</v>
      </c>
      <c r="AK9" s="224">
        <v>0</v>
      </c>
      <c r="AL9" s="224">
        <f t="shared" ref="AL9:AL19" si="7">AI9+AJ9+AK9</f>
        <v>0</v>
      </c>
      <c r="AM9" s="224">
        <v>0</v>
      </c>
      <c r="AN9" s="224">
        <v>0</v>
      </c>
      <c r="AO9" s="224">
        <v>0</v>
      </c>
      <c r="AP9" s="224">
        <f t="shared" ref="AP9:AP19" si="8">AM9+AN9+AO9</f>
        <v>0</v>
      </c>
      <c r="AQ9" s="234">
        <f>'საბუნ.მეცნ.და ჯანდაც.ფაკულტ'!Z26</f>
        <v>746851.25</v>
      </c>
      <c r="AR9" s="234">
        <f>'საბუნ.მეცნ.და ჯანდაც.ფაკულტ'!AB26</f>
        <v>168642.07999999993</v>
      </c>
      <c r="AS9" s="234">
        <f>'საბუნ.მეცნ.და ჯანდაც.ფაკულტ'!AD26</f>
        <v>194525.9499999999</v>
      </c>
      <c r="AT9" s="225">
        <f t="shared" ref="AT9:AT19" si="9">AQ9+AR9+AS9</f>
        <v>1110019.2799999998</v>
      </c>
      <c r="AU9" s="225">
        <f>'საბუნ.მეცნ.და ჯანდაც.ფაკულტ'!AA26</f>
        <v>0</v>
      </c>
      <c r="AV9" s="225">
        <f>'საბუნ.მეცნ.და ჯანდაც.ფაკულტ'!AC26</f>
        <v>0</v>
      </c>
      <c r="AW9" s="225">
        <f>'საბუნ.მეცნ.და ჯანდაც.ფაკულტ'!AE26</f>
        <v>0</v>
      </c>
      <c r="AX9" s="225">
        <f t="shared" ref="AX9:AX19" si="10">AU9+AV9+AW9</f>
        <v>0</v>
      </c>
      <c r="AY9" s="225">
        <v>0</v>
      </c>
      <c r="AZ9" s="225">
        <v>0</v>
      </c>
      <c r="BA9" s="225">
        <v>0</v>
      </c>
      <c r="BB9" s="225">
        <f t="shared" ref="BB9:BB19" si="11">AY9+AZ9+BA9</f>
        <v>0</v>
      </c>
      <c r="BC9" s="225">
        <v>0</v>
      </c>
      <c r="BD9" s="225">
        <v>0</v>
      </c>
      <c r="BE9" s="225">
        <v>0</v>
      </c>
      <c r="BF9" s="225">
        <f t="shared" ref="BF9:BF19" si="12">BC9+BD9+BE9</f>
        <v>0</v>
      </c>
      <c r="BG9" s="225">
        <f>'საბუნ.მეცნ.და ჯანდაც.ფაკულტ'!AH26</f>
        <v>213539.53000000009</v>
      </c>
      <c r="BH9" s="225">
        <f>'საბუნ.მეცნ.და ჯანდაც.ფაკულტ'!AJ26</f>
        <v>381061</v>
      </c>
      <c r="BI9" s="225">
        <f>'საბუნ.მეცნ.და ჯანდაც.ფაკულტ'!AL26</f>
        <v>684558.70999999985</v>
      </c>
      <c r="BJ9" s="225">
        <f t="shared" ref="BJ9:BJ19" si="13">BG9+BH9+BI9</f>
        <v>1279159.2399999998</v>
      </c>
      <c r="BK9" s="225">
        <f>'საბუნ.მეცნ.და ჯანდაც.ფაკულტ'!AI26</f>
        <v>0</v>
      </c>
      <c r="BL9" s="225">
        <f>'საბუნ.მეცნ.და ჯანდაც.ფაკულტ'!AK26</f>
        <v>0</v>
      </c>
      <c r="BM9" s="225">
        <f>'საბუნ.მეცნ.და ჯანდაც.ფაკულტ'!AM26</f>
        <v>0</v>
      </c>
      <c r="BN9" s="225">
        <f t="shared" ref="BN9:BN19" si="14">BK9+BL9+BM9</f>
        <v>0</v>
      </c>
      <c r="BO9" s="225">
        <v>0</v>
      </c>
      <c r="BP9" s="225">
        <v>0</v>
      </c>
      <c r="BQ9" s="225">
        <v>0</v>
      </c>
      <c r="BR9" s="225">
        <f t="shared" ref="BR9:BR19" si="15">BO9+BP9+BQ9</f>
        <v>0</v>
      </c>
      <c r="BS9" s="225">
        <v>0</v>
      </c>
      <c r="BT9" s="225">
        <v>0</v>
      </c>
      <c r="BU9" s="225">
        <v>0</v>
      </c>
      <c r="BV9" s="225">
        <f t="shared" ref="BV9:BV19" si="16">BS9+BT9+BU9</f>
        <v>0</v>
      </c>
      <c r="BW9" s="222"/>
      <c r="BX9" s="222"/>
    </row>
    <row r="10" spans="1:76" s="150" customFormat="1" ht="38.25" customHeight="1" x14ac:dyDescent="0.35">
      <c r="A10" s="147">
        <v>3</v>
      </c>
      <c r="B10" s="280" t="s">
        <v>27</v>
      </c>
      <c r="C10" s="280"/>
      <c r="D10" s="280"/>
      <c r="E10" s="280"/>
      <c r="F10" s="53">
        <f>'ჰუმანიტ. მეცნ.ფაკულ'!D34</f>
        <v>3006325</v>
      </c>
      <c r="G10" s="53">
        <f>'ჰუმანიტ. მეცნ.ფაკულ'!E34</f>
        <v>25000</v>
      </c>
      <c r="H10" s="53">
        <f>'ჰუმანიტ. მეცნ.ფაკულ'!F34</f>
        <v>0</v>
      </c>
      <c r="I10" s="53">
        <f>'ჰუმანიტ. მეცნ.ფაკულ'!G34</f>
        <v>0</v>
      </c>
      <c r="J10" s="52">
        <f t="shared" si="0"/>
        <v>3031325</v>
      </c>
      <c r="K10" s="148">
        <f>'ჰუმანიტ. მეცნ.ფაკულ'!J34</f>
        <v>203403.04</v>
      </c>
      <c r="L10" s="148">
        <f>'ჰუმანიტ. მეცნ.ფაკულ'!L34</f>
        <v>197065.8</v>
      </c>
      <c r="M10" s="148">
        <f>'ჰუმანიტ. მეცნ.ფაკულ'!N34</f>
        <v>206942.00000000006</v>
      </c>
      <c r="N10" s="230">
        <f t="shared" si="1"/>
        <v>607410.84000000008</v>
      </c>
      <c r="O10" s="227">
        <f>'ჰუმანიტ. მეცნ.ფაკულ'!K34</f>
        <v>0</v>
      </c>
      <c r="P10" s="227">
        <f>'ჰუმანიტ. მეცნ.ფაკულ'!M34</f>
        <v>0</v>
      </c>
      <c r="Q10" s="227">
        <f>'ჰუმანიტ. მეცნ.ფაკულ'!O34</f>
        <v>0</v>
      </c>
      <c r="R10" s="227">
        <f t="shared" si="2"/>
        <v>0</v>
      </c>
      <c r="S10" s="227">
        <v>0</v>
      </c>
      <c r="T10" s="227">
        <v>0</v>
      </c>
      <c r="U10" s="227">
        <v>0</v>
      </c>
      <c r="V10" s="227">
        <f t="shared" si="3"/>
        <v>0</v>
      </c>
      <c r="W10" s="227">
        <v>0</v>
      </c>
      <c r="X10" s="227">
        <v>0</v>
      </c>
      <c r="Y10" s="227">
        <v>0</v>
      </c>
      <c r="Z10" s="227">
        <f t="shared" si="4"/>
        <v>0</v>
      </c>
      <c r="AA10" s="226">
        <f>'ჰუმანიტ. მეცნ.ფაკულ'!R34</f>
        <v>198149.03999999989</v>
      </c>
      <c r="AB10" s="226">
        <f>'ჰუმანიტ. მეცნ.ფაკულ'!T34</f>
        <v>252510.02000000005</v>
      </c>
      <c r="AC10" s="226">
        <f>'ჰუმანიტ. მეცნ.ფაკულ'!V34</f>
        <v>263981.98</v>
      </c>
      <c r="AD10" s="226">
        <f t="shared" si="5"/>
        <v>714641.03999999992</v>
      </c>
      <c r="AE10" s="226">
        <v>0</v>
      </c>
      <c r="AF10" s="228">
        <v>0</v>
      </c>
      <c r="AG10" s="226">
        <v>0</v>
      </c>
      <c r="AH10" s="226">
        <f t="shared" si="6"/>
        <v>0</v>
      </c>
      <c r="AI10" s="226">
        <v>0</v>
      </c>
      <c r="AJ10" s="226">
        <v>0</v>
      </c>
      <c r="AK10" s="226">
        <v>0</v>
      </c>
      <c r="AL10" s="226">
        <f t="shared" si="7"/>
        <v>0</v>
      </c>
      <c r="AM10" s="226">
        <v>0</v>
      </c>
      <c r="AN10" s="226">
        <v>0</v>
      </c>
      <c r="AO10" s="226">
        <v>0</v>
      </c>
      <c r="AP10" s="226">
        <f t="shared" si="8"/>
        <v>0</v>
      </c>
      <c r="AQ10" s="229">
        <f>'ჰუმანიტ. მეცნ.ფაკულ'!Z34</f>
        <v>485065.12</v>
      </c>
      <c r="AR10" s="229">
        <f>'ჰუმანიტ. მეცნ.ფაკულ'!AB34</f>
        <v>24312.429999999968</v>
      </c>
      <c r="AS10" s="229">
        <f>'ჰუმანიტ. მეცნ.ფაკულ'!AD34</f>
        <v>186109.90999999997</v>
      </c>
      <c r="AT10" s="230">
        <f t="shared" si="9"/>
        <v>695487.46</v>
      </c>
      <c r="AU10" s="230">
        <f>'ჰუმანიტ. მეცნ.ფაკულ'!AA34</f>
        <v>9640</v>
      </c>
      <c r="AV10" s="230">
        <f>'ჰუმანიტ. მეცნ.ფაკულ'!AC34</f>
        <v>15344.57</v>
      </c>
      <c r="AW10" s="230">
        <f>'ჰუმანიტ. მეცნ.ფაკულ'!AE34</f>
        <v>0</v>
      </c>
      <c r="AX10" s="230">
        <f t="shared" si="10"/>
        <v>24984.57</v>
      </c>
      <c r="AY10" s="230">
        <v>0</v>
      </c>
      <c r="AZ10" s="230">
        <v>0</v>
      </c>
      <c r="BA10" s="230">
        <v>0</v>
      </c>
      <c r="BB10" s="230">
        <f t="shared" si="11"/>
        <v>0</v>
      </c>
      <c r="BC10" s="230">
        <v>0</v>
      </c>
      <c r="BD10" s="230">
        <v>0</v>
      </c>
      <c r="BE10" s="230">
        <v>0</v>
      </c>
      <c r="BF10" s="230">
        <f t="shared" si="12"/>
        <v>0</v>
      </c>
      <c r="BG10" s="230">
        <f>'ჰუმანიტ. მეცნ.ფაკულ'!AH34</f>
        <v>202969.47999999992</v>
      </c>
      <c r="BH10" s="230">
        <f>'ჰუმანიტ. მეცნ.ფაკულ'!AJ34</f>
        <v>217038.7900000001</v>
      </c>
      <c r="BI10" s="230">
        <f>'ჰუმანიტ. მეცნ.ფაკულ'!AL34</f>
        <v>335273.3</v>
      </c>
      <c r="BJ10" s="230">
        <f t="shared" si="13"/>
        <v>755281.57000000007</v>
      </c>
      <c r="BK10" s="230">
        <f>'ჰუმანიტ. მეცნ.ფაკულ'!AI34</f>
        <v>0</v>
      </c>
      <c r="BL10" s="230">
        <f>'ჰუმანიტ. მეცნ.ფაკულ'!AK34</f>
        <v>0</v>
      </c>
      <c r="BM10" s="230">
        <f>'ჰუმანიტ. მეცნ.ფაკულ'!AM34</f>
        <v>0</v>
      </c>
      <c r="BN10" s="230">
        <f t="shared" si="14"/>
        <v>0</v>
      </c>
      <c r="BO10" s="230">
        <v>0</v>
      </c>
      <c r="BP10" s="230">
        <v>0</v>
      </c>
      <c r="BQ10" s="230">
        <v>0</v>
      </c>
      <c r="BR10" s="230">
        <f t="shared" si="15"/>
        <v>0</v>
      </c>
      <c r="BS10" s="230">
        <v>0</v>
      </c>
      <c r="BT10" s="230">
        <v>0</v>
      </c>
      <c r="BU10" s="230">
        <v>0</v>
      </c>
      <c r="BV10" s="230">
        <f t="shared" si="16"/>
        <v>0</v>
      </c>
      <c r="BW10" s="231"/>
      <c r="BX10" s="231"/>
    </row>
    <row r="11" spans="1:76" s="150" customFormat="1" ht="31.5" customHeight="1" x14ac:dyDescent="0.35">
      <c r="A11" s="147">
        <v>4</v>
      </c>
      <c r="B11" s="280" t="s">
        <v>29</v>
      </c>
      <c r="C11" s="280"/>
      <c r="D11" s="280"/>
      <c r="E11" s="280"/>
      <c r="F11" s="53">
        <f>'ზუსტ მეცნ.და განათლ. ფაკულ '!D40</f>
        <v>2116500</v>
      </c>
      <c r="G11" s="53">
        <f>'ზუსტ მეცნ.და განათლ. ფაკულ '!E40</f>
        <v>62710</v>
      </c>
      <c r="H11" s="53">
        <f>'ზუსტ მეცნ.და განათლ. ფაკულ '!F40</f>
        <v>20000</v>
      </c>
      <c r="I11" s="53">
        <f>'ზუსტ მეცნ.და განათლ. ფაკულ '!G40</f>
        <v>4400</v>
      </c>
      <c r="J11" s="52">
        <f t="shared" si="0"/>
        <v>2203610</v>
      </c>
      <c r="K11" s="149">
        <f>'ზუსტ მეცნ.და განათლ. ფაკულ '!J40</f>
        <v>123392</v>
      </c>
      <c r="L11" s="149">
        <f>'ზუსტ მეცნ.და განათლ. ფაკულ '!L40</f>
        <v>126005</v>
      </c>
      <c r="M11" s="149">
        <f>'ზუსტ მეცნ.და განათლ. ფაკულ '!N40</f>
        <v>141331.68</v>
      </c>
      <c r="N11" s="226">
        <f t="shared" si="1"/>
        <v>390728.68</v>
      </c>
      <c r="O11" s="227">
        <f>'ზუსტ მეცნ.და განათლ. ფაკულ '!K40</f>
        <v>0</v>
      </c>
      <c r="P11" s="227">
        <f>'ზუსტ მეცნ.და განათლ. ფაკულ '!M40</f>
        <v>0</v>
      </c>
      <c r="Q11" s="227">
        <f>'ზუსტ მეცნ.და განათლ. ფაკულ '!O40</f>
        <v>0</v>
      </c>
      <c r="R11" s="227">
        <f t="shared" si="2"/>
        <v>0</v>
      </c>
      <c r="S11" s="227">
        <v>0</v>
      </c>
      <c r="T11" s="227">
        <v>0</v>
      </c>
      <c r="U11" s="227">
        <v>0</v>
      </c>
      <c r="V11" s="227">
        <f t="shared" si="3"/>
        <v>0</v>
      </c>
      <c r="W11" s="227">
        <v>0</v>
      </c>
      <c r="X11" s="227">
        <v>0</v>
      </c>
      <c r="Y11" s="227">
        <v>0</v>
      </c>
      <c r="Z11" s="227">
        <f t="shared" si="4"/>
        <v>0</v>
      </c>
      <c r="AA11" s="226">
        <f>'ზუსტ მეცნ.და განათლ. ფაკულ '!R40</f>
        <v>117295</v>
      </c>
      <c r="AB11" s="226">
        <f>'ზუსტ მეცნ.და განათლ. ფაკულ '!V40</f>
        <v>152891</v>
      </c>
      <c r="AC11" s="226">
        <f>'ზუსტ მეცნ.და განათლ. ფაკულ '!Z40</f>
        <v>251872.09999999995</v>
      </c>
      <c r="AD11" s="226">
        <f t="shared" si="5"/>
        <v>522058.1</v>
      </c>
      <c r="AE11" s="226">
        <v>0</v>
      </c>
      <c r="AF11" s="228">
        <v>0</v>
      </c>
      <c r="AG11" s="226">
        <v>0</v>
      </c>
      <c r="AH11" s="226">
        <f t="shared" si="6"/>
        <v>0</v>
      </c>
      <c r="AI11" s="226">
        <v>0</v>
      </c>
      <c r="AJ11" s="226">
        <v>0</v>
      </c>
      <c r="AK11" s="226">
        <f>'ზუსტ მეცნ.და განათლ. ფაკულ '!AB40</f>
        <v>15000</v>
      </c>
      <c r="AL11" s="226">
        <f t="shared" si="7"/>
        <v>15000</v>
      </c>
      <c r="AM11" s="226">
        <v>0</v>
      </c>
      <c r="AN11" s="226">
        <v>0</v>
      </c>
      <c r="AO11" s="226">
        <f>'ზუსტ მეცნ.და განათლ. ფაკულ '!AC40</f>
        <v>4400</v>
      </c>
      <c r="AP11" s="226">
        <f t="shared" si="8"/>
        <v>4400</v>
      </c>
      <c r="AQ11" s="229">
        <f>'ზუსტ მეცნ.და განათლ. ფაკულ '!AH40</f>
        <v>299527.14</v>
      </c>
      <c r="AR11" s="229">
        <f>'ზუსტ მეცნ.და განათლ. ფაკულ '!AL40</f>
        <v>19115.399999999994</v>
      </c>
      <c r="AS11" s="229">
        <f>'ზუსტ მეცნ.და განათლ. ფაკულ '!AP40</f>
        <v>110797.00999999995</v>
      </c>
      <c r="AT11" s="230">
        <f t="shared" si="9"/>
        <v>429439.55</v>
      </c>
      <c r="AU11" s="230">
        <f>'ზუსტ მეცნ.და განათლ. ფაკულ '!AI40</f>
        <v>14339.88</v>
      </c>
      <c r="AV11" s="230">
        <f>'ზუსტ მეცნ.და განათლ. ფაკულ '!AM40</f>
        <v>6777.5499999999993</v>
      </c>
      <c r="AW11" s="230">
        <f>'ზუსტ მეცნ.და განათლ. ფაკულ '!AQ40</f>
        <v>14630</v>
      </c>
      <c r="AX11" s="230">
        <f t="shared" si="10"/>
        <v>35747.43</v>
      </c>
      <c r="AY11" s="230">
        <f>'ზუსტ მეცნ.და განათლ. ფაკულ '!AJ40</f>
        <v>3050</v>
      </c>
      <c r="AZ11" s="230">
        <f>'ზუსტ მეცნ.და განათლ. ფაკულ '!AN40</f>
        <v>0</v>
      </c>
      <c r="BA11" s="230">
        <f>'ზუსტ მეცნ.და განათლ. ფაკულ '!AR40</f>
        <v>0</v>
      </c>
      <c r="BB11" s="230">
        <f t="shared" si="11"/>
        <v>3050</v>
      </c>
      <c r="BC11" s="230">
        <f>'ზუსტ მეცნ.და განათლ. ფაკულ '!AK40</f>
        <v>0</v>
      </c>
      <c r="BD11" s="230">
        <f>'ზუსტ მეცნ.და განათლ. ფაკულ '!AO40</f>
        <v>0</v>
      </c>
      <c r="BE11" s="230">
        <f>'ზუსტ მეცნ.და განათლ. ფაკულ '!AS40</f>
        <v>0</v>
      </c>
      <c r="BF11" s="230">
        <f t="shared" si="12"/>
        <v>0</v>
      </c>
      <c r="BG11" s="230">
        <f>'ზუსტ მეცნ.და განათლ. ფაკულ '!AX40</f>
        <v>123705.59000000019</v>
      </c>
      <c r="BH11" s="230">
        <f>'ზუსტ მეცნ.და განათლ. ფაკულ '!BB40</f>
        <v>125078.95000000004</v>
      </c>
      <c r="BI11" s="230">
        <f>'ზუსტ მეცნ.და განათლ. ფაკულ '!BF40</f>
        <v>273699.9499999999</v>
      </c>
      <c r="BJ11" s="230">
        <f t="shared" si="13"/>
        <v>522484.49000000011</v>
      </c>
      <c r="BK11" s="230">
        <f>'ზუსტ მეცნ.და განათლ. ფაკულ '!AY40</f>
        <v>1549.65</v>
      </c>
      <c r="BL11" s="230">
        <f>'ზუსტ მეცნ.და განათლ. ფაკულ '!BC40</f>
        <v>9253.74</v>
      </c>
      <c r="BM11" s="230">
        <f>'ზუსტ მეცნ.და განათლ. ფაკულ '!BG40</f>
        <v>12302.11</v>
      </c>
      <c r="BN11" s="230">
        <f t="shared" si="14"/>
        <v>23105.5</v>
      </c>
      <c r="BO11" s="230">
        <f>'ზუსტ მეცნ.და განათლ. ფაკულ '!AZ40</f>
        <v>0</v>
      </c>
      <c r="BP11" s="230">
        <f>'ზუსტ მეცნ.და განათლ. ფაკულ '!BD40</f>
        <v>0</v>
      </c>
      <c r="BQ11" s="230">
        <f>'ზუსტ მეცნ.და განათლ. ფაკულ '!BH40</f>
        <v>0</v>
      </c>
      <c r="BR11" s="230">
        <f t="shared" si="15"/>
        <v>0</v>
      </c>
      <c r="BS11" s="230">
        <f>'ზუსტ მეცნ.და განათლ. ფაკულ '!BA40</f>
        <v>0</v>
      </c>
      <c r="BT11" s="230">
        <f>'ზუსტ მეცნ.და განათლ. ფაკულ '!BE40</f>
        <v>0</v>
      </c>
      <c r="BU11" s="230">
        <f>'ზუსტ მეცნ.და განათლ. ფაკულ '!BI40</f>
        <v>0</v>
      </c>
      <c r="BV11" s="230">
        <f t="shared" si="16"/>
        <v>0</v>
      </c>
      <c r="BW11" s="231"/>
      <c r="BX11" s="231"/>
    </row>
    <row r="12" spans="1:76" s="150" customFormat="1" ht="27.95" customHeight="1" x14ac:dyDescent="0.35">
      <c r="A12" s="147">
        <v>5</v>
      </c>
      <c r="B12" s="280" t="s">
        <v>63</v>
      </c>
      <c r="C12" s="280"/>
      <c r="D12" s="280"/>
      <c r="E12" s="280"/>
      <c r="F12" s="53">
        <f>'იურიდ.და სოც.მეცნ.ფაკულტ'!D27</f>
        <v>1392001</v>
      </c>
      <c r="G12" s="53">
        <f>'იურიდ.და სოც.მეცნ.ფაკულტ'!E27</f>
        <v>20000</v>
      </c>
      <c r="H12" s="53">
        <f>'იურიდ.და სოც.მეცნ.ფაკულტ'!F27</f>
        <v>0</v>
      </c>
      <c r="I12" s="53">
        <f>'იურიდ.და სოც.მეცნ.ფაკულტ'!G27</f>
        <v>0</v>
      </c>
      <c r="J12" s="52">
        <f t="shared" si="0"/>
        <v>1412001</v>
      </c>
      <c r="K12" s="149">
        <f>'იურიდ.და სოც.მეცნ.ფაკულტ'!J27</f>
        <v>92902.35</v>
      </c>
      <c r="L12" s="149">
        <f>'იურიდ.და სოც.მეცნ.ფაკულტ'!L27</f>
        <v>82544.350000000006</v>
      </c>
      <c r="M12" s="149">
        <f>'იურიდ.და სოც.მეცნ.ფაკულტ'!N27</f>
        <v>86734.349999999977</v>
      </c>
      <c r="N12" s="226">
        <f t="shared" si="1"/>
        <v>262181.05</v>
      </c>
      <c r="O12" s="227">
        <f>'იურიდ.და სოც.მეცნ.ფაკულტ'!K27</f>
        <v>0</v>
      </c>
      <c r="P12" s="227">
        <f>'იურიდ.და სოც.მეცნ.ფაკულტ'!M27</f>
        <v>0</v>
      </c>
      <c r="Q12" s="227">
        <f>'იურიდ.და სოც.მეცნ.ფაკულტ'!O27</f>
        <v>0</v>
      </c>
      <c r="R12" s="227">
        <f t="shared" si="2"/>
        <v>0</v>
      </c>
      <c r="S12" s="227">
        <v>0</v>
      </c>
      <c r="T12" s="227">
        <v>0</v>
      </c>
      <c r="U12" s="227">
        <v>0</v>
      </c>
      <c r="V12" s="227">
        <f t="shared" si="3"/>
        <v>0</v>
      </c>
      <c r="W12" s="227">
        <v>0</v>
      </c>
      <c r="X12" s="227">
        <v>0</v>
      </c>
      <c r="Y12" s="227">
        <v>0</v>
      </c>
      <c r="Z12" s="227">
        <f t="shared" si="4"/>
        <v>0</v>
      </c>
      <c r="AA12" s="226">
        <f>'იურიდ.და სოც.მეცნ.ფაკულტ'!R27</f>
        <v>89314.240000000005</v>
      </c>
      <c r="AB12" s="226">
        <f>'იურიდ.და სოც.მეცნ.ფაკულტ'!T27</f>
        <v>117598.35</v>
      </c>
      <c r="AC12" s="226">
        <f>'იურიდ.და სოც.მეცნ.ფაკულტ'!V27</f>
        <v>133464.35</v>
      </c>
      <c r="AD12" s="226">
        <f t="shared" si="5"/>
        <v>340376.94000000006</v>
      </c>
      <c r="AE12" s="226">
        <v>0</v>
      </c>
      <c r="AF12" s="228">
        <v>0</v>
      </c>
      <c r="AG12" s="226">
        <f>'იურიდ.და სოც.მეცნ.ფაკულტ'!W27</f>
        <v>2200</v>
      </c>
      <c r="AH12" s="226">
        <f t="shared" si="6"/>
        <v>2200</v>
      </c>
      <c r="AI12" s="226">
        <v>0</v>
      </c>
      <c r="AJ12" s="226">
        <v>0</v>
      </c>
      <c r="AK12" s="226">
        <v>0</v>
      </c>
      <c r="AL12" s="226">
        <f t="shared" si="7"/>
        <v>0</v>
      </c>
      <c r="AM12" s="226">
        <v>0</v>
      </c>
      <c r="AN12" s="226">
        <v>0</v>
      </c>
      <c r="AO12" s="226">
        <v>0</v>
      </c>
      <c r="AP12" s="226">
        <f t="shared" si="8"/>
        <v>0</v>
      </c>
      <c r="AQ12" s="229">
        <f>'იურიდ.და სოც.მეცნ.ფაკულტ'!Z27</f>
        <v>235703.67999999999</v>
      </c>
      <c r="AR12" s="229">
        <f>'იურიდ.და სოც.მეცნ.ფაკულტ'!AB27</f>
        <v>12503.64</v>
      </c>
      <c r="AS12" s="229">
        <f>'იურიდ.და სოც.მეცნ.ფაკულტ'!AD27</f>
        <v>77534.150000000067</v>
      </c>
      <c r="AT12" s="230">
        <f t="shared" si="9"/>
        <v>325741.47000000009</v>
      </c>
      <c r="AU12" s="230">
        <f>'იურიდ.და სოც.მეცნ.ფაკულტ'!AA27</f>
        <v>17568.57</v>
      </c>
      <c r="AV12" s="230">
        <f>'იურიდ.და სოც.მეცნ.ფაკულტ'!AC27</f>
        <v>0</v>
      </c>
      <c r="AW12" s="230">
        <f>'იურიდ.და სოც.მეცნ.ფაკულტ'!AE27</f>
        <v>0</v>
      </c>
      <c r="AX12" s="230">
        <f t="shared" si="10"/>
        <v>17568.57</v>
      </c>
      <c r="AY12" s="230">
        <v>0</v>
      </c>
      <c r="AZ12" s="230">
        <v>0</v>
      </c>
      <c r="BA12" s="230">
        <v>0</v>
      </c>
      <c r="BB12" s="230">
        <f t="shared" si="11"/>
        <v>0</v>
      </c>
      <c r="BC12" s="230">
        <v>0</v>
      </c>
      <c r="BD12" s="230">
        <v>0</v>
      </c>
      <c r="BE12" s="230">
        <v>0</v>
      </c>
      <c r="BF12" s="230">
        <f t="shared" si="12"/>
        <v>0</v>
      </c>
      <c r="BG12" s="230">
        <f>'იურიდ.და სოც.მეცნ.ფაკულტ'!AH27</f>
        <v>84425.949999999983</v>
      </c>
      <c r="BH12" s="230">
        <f>'იურიდ.და სოც.მეცნ.ფაკულტ'!AJ27</f>
        <v>91250.969999999972</v>
      </c>
      <c r="BI12" s="230">
        <f>'იურიდ.და სოც.მეცნ.ფაკულტ'!AL27</f>
        <v>158133.06</v>
      </c>
      <c r="BJ12" s="230">
        <f t="shared" si="13"/>
        <v>333809.98</v>
      </c>
      <c r="BK12" s="230">
        <f>'იურიდ.და სოც.მეცნ.ფაკულტ'!AI27</f>
        <v>0</v>
      </c>
      <c r="BL12" s="230">
        <f>'იურიდ.და სოც.მეცნ.ფაკულტ'!AK27</f>
        <v>0</v>
      </c>
      <c r="BM12" s="230">
        <f>'იურიდ.და სოც.მეცნ.ფაკულტ'!AM27</f>
        <v>0</v>
      </c>
      <c r="BN12" s="230">
        <f t="shared" si="14"/>
        <v>0</v>
      </c>
      <c r="BO12" s="230">
        <v>0</v>
      </c>
      <c r="BP12" s="230">
        <v>0</v>
      </c>
      <c r="BQ12" s="230">
        <v>0</v>
      </c>
      <c r="BR12" s="230">
        <f t="shared" si="15"/>
        <v>0</v>
      </c>
      <c r="BS12" s="230">
        <v>0</v>
      </c>
      <c r="BT12" s="230">
        <v>0</v>
      </c>
      <c r="BU12" s="230">
        <v>0</v>
      </c>
      <c r="BV12" s="230">
        <f t="shared" si="16"/>
        <v>0</v>
      </c>
      <c r="BW12" s="231"/>
      <c r="BX12" s="231"/>
    </row>
    <row r="13" spans="1:76" s="48" customFormat="1" ht="27.95" customHeight="1" x14ac:dyDescent="0.35">
      <c r="A13" s="51">
        <v>6</v>
      </c>
      <c r="B13" s="287" t="s">
        <v>31</v>
      </c>
      <c r="C13" s="287"/>
      <c r="D13" s="287"/>
      <c r="E13" s="287"/>
      <c r="F13" s="53">
        <f>'ტურიზმის ფაკულტეტი'!D26</f>
        <v>812020</v>
      </c>
      <c r="G13" s="53">
        <f>'ტურიზმის ფაკულტეტი'!E26</f>
        <v>90000</v>
      </c>
      <c r="H13" s="53">
        <f>'ტურიზმის ფაკულტეტი'!F26</f>
        <v>0</v>
      </c>
      <c r="I13" s="53">
        <f>'ტურიზმის ფაკულტეტი'!G26</f>
        <v>0</v>
      </c>
      <c r="J13" s="54">
        <f t="shared" si="0"/>
        <v>902020</v>
      </c>
      <c r="K13" s="56">
        <f>'ტურიზმის ფაკულტეტი'!J26</f>
        <v>50361.229999999996</v>
      </c>
      <c r="L13" s="56">
        <f>'ტურიზმის ფაკულტეტი'!L26</f>
        <v>40191.229999999996</v>
      </c>
      <c r="M13" s="56">
        <f>'ტურიზმის ფაკულტეტი'!N26</f>
        <v>41191.23000000001</v>
      </c>
      <c r="N13" s="224">
        <f t="shared" si="1"/>
        <v>131743.69</v>
      </c>
      <c r="O13" s="232">
        <f>'ტურიზმის ფაკულტეტი'!K26</f>
        <v>0</v>
      </c>
      <c r="P13" s="232">
        <f>'ტურიზმის ფაკულტეტი'!M26</f>
        <v>0</v>
      </c>
      <c r="Q13" s="232">
        <f>'ტურიზმის ფაკულტეტი'!O26</f>
        <v>0</v>
      </c>
      <c r="R13" s="232">
        <f t="shared" si="2"/>
        <v>0</v>
      </c>
      <c r="S13" s="232">
        <v>0</v>
      </c>
      <c r="T13" s="232">
        <v>0</v>
      </c>
      <c r="U13" s="232">
        <v>0</v>
      </c>
      <c r="V13" s="232">
        <f t="shared" si="3"/>
        <v>0</v>
      </c>
      <c r="W13" s="232">
        <v>0</v>
      </c>
      <c r="X13" s="232">
        <v>0</v>
      </c>
      <c r="Y13" s="232">
        <v>0</v>
      </c>
      <c r="Z13" s="232">
        <f t="shared" si="4"/>
        <v>0</v>
      </c>
      <c r="AA13" s="224">
        <f>'ტურიზმის ფაკულტეტი'!R26</f>
        <v>58414.950000000004</v>
      </c>
      <c r="AB13" s="224">
        <f>'ტურიზმის ფაკულტეტი'!U26</f>
        <v>66055.23</v>
      </c>
      <c r="AC13" s="224">
        <f>'ტურიზმის ფაკულტეტი'!X26</f>
        <v>41581.229999999996</v>
      </c>
      <c r="AD13" s="224">
        <f t="shared" si="5"/>
        <v>166051.40999999997</v>
      </c>
      <c r="AE13" s="224">
        <v>0</v>
      </c>
      <c r="AF13" s="233">
        <v>0</v>
      </c>
      <c r="AG13" s="224">
        <f>'ტურიზმის ფაკულტეტი'!Y26</f>
        <v>83720</v>
      </c>
      <c r="AH13" s="224">
        <f t="shared" si="6"/>
        <v>83720</v>
      </c>
      <c r="AI13" s="224">
        <v>0</v>
      </c>
      <c r="AJ13" s="224">
        <v>0</v>
      </c>
      <c r="AK13" s="224">
        <v>0</v>
      </c>
      <c r="AL13" s="224">
        <f t="shared" si="7"/>
        <v>0</v>
      </c>
      <c r="AM13" s="224">
        <v>0</v>
      </c>
      <c r="AN13" s="224">
        <v>0</v>
      </c>
      <c r="AO13" s="224">
        <v>0</v>
      </c>
      <c r="AP13" s="224">
        <f t="shared" si="8"/>
        <v>0</v>
      </c>
      <c r="AQ13" s="234">
        <f>'ტურიზმის ფაკულტეტი'!AD26</f>
        <v>92533.069999999992</v>
      </c>
      <c r="AR13" s="234">
        <f>'ტურიზმის ფაკულტეტი'!AF26</f>
        <v>15837.270000000004</v>
      </c>
      <c r="AS13" s="234">
        <f>'ტურიზმის ფაკულტეტი'!AH26</f>
        <v>40903.079999999973</v>
      </c>
      <c r="AT13" s="225">
        <f t="shared" si="9"/>
        <v>149273.41999999998</v>
      </c>
      <c r="AU13" s="225">
        <f>'ტურიზმის ფაკულტეტი'!AE26</f>
        <v>0</v>
      </c>
      <c r="AV13" s="225">
        <f>'ტურიზმის ფაკულტეტი'!AG26</f>
        <v>0</v>
      </c>
      <c r="AW13" s="225">
        <f>'ტურიზმის ფაკულტეტი'!AI26</f>
        <v>0</v>
      </c>
      <c r="AX13" s="225">
        <f t="shared" si="10"/>
        <v>0</v>
      </c>
      <c r="AY13" s="225">
        <v>0</v>
      </c>
      <c r="AZ13" s="225">
        <v>0</v>
      </c>
      <c r="BA13" s="225">
        <v>0</v>
      </c>
      <c r="BB13" s="225">
        <f t="shared" si="11"/>
        <v>0</v>
      </c>
      <c r="BC13" s="225">
        <v>0</v>
      </c>
      <c r="BD13" s="225">
        <v>0</v>
      </c>
      <c r="BE13" s="225">
        <v>0</v>
      </c>
      <c r="BF13" s="225">
        <f t="shared" si="12"/>
        <v>0</v>
      </c>
      <c r="BG13" s="225">
        <f>'ტურიზმის ფაკულტეტი'!AL26</f>
        <v>34827.619999999981</v>
      </c>
      <c r="BH13" s="225">
        <f>'ტურიზმის ფაკულტეტი'!AN26</f>
        <v>39525.080000000016</v>
      </c>
      <c r="BI13" s="225">
        <f>'ტურიზმის ფაკულტეტი'!AP26</f>
        <v>41164.000000000015</v>
      </c>
      <c r="BJ13" s="225">
        <f t="shared" si="13"/>
        <v>115516.70000000001</v>
      </c>
      <c r="BK13" s="225">
        <f>'ტურიზმის ფაკულტეტი'!AM26</f>
        <v>0</v>
      </c>
      <c r="BL13" s="225">
        <f>'ტურიზმის ფაკულტეტი'!AO26</f>
        <v>0</v>
      </c>
      <c r="BM13" s="225">
        <f>'ტურიზმის ფაკულტეტი'!AQ26</f>
        <v>0</v>
      </c>
      <c r="BN13" s="225">
        <f t="shared" si="14"/>
        <v>0</v>
      </c>
      <c r="BO13" s="225">
        <v>0</v>
      </c>
      <c r="BP13" s="225">
        <v>0</v>
      </c>
      <c r="BQ13" s="225">
        <v>0</v>
      </c>
      <c r="BR13" s="225">
        <f t="shared" si="15"/>
        <v>0</v>
      </c>
      <c r="BS13" s="225">
        <v>0</v>
      </c>
      <c r="BT13" s="225">
        <v>0</v>
      </c>
      <c r="BU13" s="225">
        <v>0</v>
      </c>
      <c r="BV13" s="225">
        <f t="shared" si="16"/>
        <v>0</v>
      </c>
      <c r="BW13" s="222"/>
      <c r="BX13" s="222"/>
    </row>
    <row r="14" spans="1:76" s="150" customFormat="1" ht="27.95" customHeight="1" x14ac:dyDescent="0.35">
      <c r="A14" s="147">
        <v>7</v>
      </c>
      <c r="B14" s="280" t="s">
        <v>32</v>
      </c>
      <c r="C14" s="280"/>
      <c r="D14" s="280"/>
      <c r="E14" s="280"/>
      <c r="F14" s="53">
        <f>'ტექნოლოგიური ფაკულტ'!D25</f>
        <v>1477537</v>
      </c>
      <c r="G14" s="53">
        <f>'ტექნოლოგიური ფაკულტ'!E25</f>
        <v>20000</v>
      </c>
      <c r="H14" s="53">
        <f>'ტექნოლოგიური ფაკულტ'!F25</f>
        <v>0</v>
      </c>
      <c r="I14" s="53">
        <f>'ტექნოლოგიური ფაკულტ'!G25</f>
        <v>0</v>
      </c>
      <c r="J14" s="52">
        <f t="shared" si="0"/>
        <v>1497537</v>
      </c>
      <c r="K14" s="149">
        <f>'ტექნოლოგიური ფაკულტ'!J25</f>
        <v>87025</v>
      </c>
      <c r="L14" s="149">
        <f>'ტექნოლოგიური ფაკულტ'!L25</f>
        <v>87625</v>
      </c>
      <c r="M14" s="149">
        <f>'ტექნოლოგიური ფაკულტ'!N25</f>
        <v>90073.34</v>
      </c>
      <c r="N14" s="226">
        <f t="shared" si="1"/>
        <v>264723.33999999997</v>
      </c>
      <c r="O14" s="227">
        <f>'ტექნოლოგიური ფაკულტ'!K25</f>
        <v>0</v>
      </c>
      <c r="P14" s="227">
        <f>'ტექნოლოგიური ფაკულტ'!M25</f>
        <v>0</v>
      </c>
      <c r="Q14" s="227">
        <f>'ტექნოლოგიური ფაკულტ'!O25</f>
        <v>0</v>
      </c>
      <c r="R14" s="227">
        <f t="shared" si="2"/>
        <v>0</v>
      </c>
      <c r="S14" s="227">
        <v>0</v>
      </c>
      <c r="T14" s="227">
        <v>0</v>
      </c>
      <c r="U14" s="227">
        <v>0</v>
      </c>
      <c r="V14" s="227">
        <f t="shared" si="3"/>
        <v>0</v>
      </c>
      <c r="W14" s="227">
        <v>0</v>
      </c>
      <c r="X14" s="227">
        <v>0</v>
      </c>
      <c r="Y14" s="227">
        <v>0</v>
      </c>
      <c r="Z14" s="227">
        <f t="shared" si="4"/>
        <v>0</v>
      </c>
      <c r="AA14" s="226">
        <f>'ტექნოლოგიური ფაკულტ'!R25</f>
        <v>102391.9</v>
      </c>
      <c r="AB14" s="226">
        <f>'ტექნოლოგიური ფაკულტ'!T25</f>
        <v>119804</v>
      </c>
      <c r="AC14" s="226">
        <f>'ტექნოლოგიური ფაკულტ'!V25</f>
        <v>123033.68000000002</v>
      </c>
      <c r="AD14" s="226">
        <f t="shared" si="5"/>
        <v>345229.58</v>
      </c>
      <c r="AE14" s="226">
        <v>0</v>
      </c>
      <c r="AF14" s="228">
        <v>0</v>
      </c>
      <c r="AG14" s="226">
        <v>0</v>
      </c>
      <c r="AH14" s="226">
        <f t="shared" si="6"/>
        <v>0</v>
      </c>
      <c r="AI14" s="226">
        <v>0</v>
      </c>
      <c r="AJ14" s="226">
        <v>0</v>
      </c>
      <c r="AK14" s="226">
        <v>0</v>
      </c>
      <c r="AL14" s="226">
        <f t="shared" si="7"/>
        <v>0</v>
      </c>
      <c r="AM14" s="226">
        <v>0</v>
      </c>
      <c r="AN14" s="226">
        <v>0</v>
      </c>
      <c r="AO14" s="226">
        <v>0</v>
      </c>
      <c r="AP14" s="226">
        <f t="shared" si="8"/>
        <v>0</v>
      </c>
      <c r="AQ14" s="229">
        <f>'ტექნოლოგიური ფაკულტ'!Z25</f>
        <v>166564.03000000003</v>
      </c>
      <c r="AR14" s="229">
        <f>'ტექნოლოგიური ფაკულტ'!AB25</f>
        <v>22412.339999999997</v>
      </c>
      <c r="AS14" s="229">
        <f>'ტექნოლოგიური ფაკულტ'!AD25</f>
        <v>103936.95999999999</v>
      </c>
      <c r="AT14" s="230">
        <f t="shared" si="9"/>
        <v>292913.33</v>
      </c>
      <c r="AU14" s="230">
        <f>'ტექნოლოგიური ფაკულტ'!AA25</f>
        <v>0</v>
      </c>
      <c r="AV14" s="230">
        <f>'ტექნოლოგიური ფაკულტ'!AC25</f>
        <v>0</v>
      </c>
      <c r="AW14" s="230">
        <f>'ტექნოლოგიური ფაკულტ'!AE25</f>
        <v>0</v>
      </c>
      <c r="AX14" s="230">
        <f t="shared" si="10"/>
        <v>0</v>
      </c>
      <c r="AY14" s="230">
        <v>0</v>
      </c>
      <c r="AZ14" s="230">
        <v>0</v>
      </c>
      <c r="BA14" s="230">
        <v>0</v>
      </c>
      <c r="BB14" s="230">
        <f t="shared" si="11"/>
        <v>0</v>
      </c>
      <c r="BC14" s="230">
        <v>0</v>
      </c>
      <c r="BD14" s="230">
        <v>0</v>
      </c>
      <c r="BE14" s="230">
        <v>0</v>
      </c>
      <c r="BF14" s="230">
        <f t="shared" si="12"/>
        <v>0</v>
      </c>
      <c r="BG14" s="230">
        <f>'ტექნოლოგიური ფაკულტ'!AH25</f>
        <v>95581.82</v>
      </c>
      <c r="BH14" s="230">
        <f>'ტექნოლოგიური ფაკულტ'!AJ25</f>
        <v>95744.960000000021</v>
      </c>
      <c r="BI14" s="230">
        <f>'ტექნოლოგიური ფაკულტ'!AL25</f>
        <v>151914.1</v>
      </c>
      <c r="BJ14" s="230">
        <f t="shared" si="13"/>
        <v>343240.88</v>
      </c>
      <c r="BK14" s="230">
        <f>'ტექნოლოგიური ფაკულტ'!AI25</f>
        <v>0</v>
      </c>
      <c r="BL14" s="230">
        <f>'ტექნოლოგიური ფაკულტ'!AK25</f>
        <v>0</v>
      </c>
      <c r="BM14" s="230">
        <f>'ტექნოლოგიური ფაკულტ'!AM25</f>
        <v>0</v>
      </c>
      <c r="BN14" s="230">
        <f t="shared" si="14"/>
        <v>0</v>
      </c>
      <c r="BO14" s="230">
        <v>0</v>
      </c>
      <c r="BP14" s="230">
        <v>0</v>
      </c>
      <c r="BQ14" s="230">
        <v>0</v>
      </c>
      <c r="BR14" s="230">
        <f t="shared" si="15"/>
        <v>0</v>
      </c>
      <c r="BS14" s="230">
        <v>0</v>
      </c>
      <c r="BT14" s="230">
        <v>0</v>
      </c>
      <c r="BU14" s="230">
        <v>0</v>
      </c>
      <c r="BV14" s="230">
        <f t="shared" si="16"/>
        <v>0</v>
      </c>
      <c r="BW14" s="231"/>
      <c r="BX14" s="231"/>
    </row>
    <row r="15" spans="1:76" s="48" customFormat="1" ht="48" customHeight="1" x14ac:dyDescent="0.35">
      <c r="A15" s="51">
        <v>8</v>
      </c>
      <c r="B15" s="287" t="s">
        <v>20</v>
      </c>
      <c r="C15" s="287"/>
      <c r="D15" s="287"/>
      <c r="E15" s="287"/>
      <c r="F15" s="53">
        <f>'ფიტოპათ '!D22</f>
        <v>466724</v>
      </c>
      <c r="G15" s="53">
        <f>'ფიტოპათ '!E22</f>
        <v>321000</v>
      </c>
      <c r="H15" s="53">
        <f>'ფიტოპათ '!F22</f>
        <v>0</v>
      </c>
      <c r="I15" s="53">
        <f>'ფიტოპათ '!G22</f>
        <v>0</v>
      </c>
      <c r="J15" s="54">
        <f t="shared" si="0"/>
        <v>787724</v>
      </c>
      <c r="K15" s="55">
        <f>'ფიტოპათ '!J22</f>
        <v>22000</v>
      </c>
      <c r="L15" s="55">
        <f>'ფიტოპათ '!L22</f>
        <v>33030</v>
      </c>
      <c r="M15" s="55">
        <f>'ფიტოპათ '!N22</f>
        <v>22530</v>
      </c>
      <c r="N15" s="225">
        <f t="shared" si="1"/>
        <v>77560</v>
      </c>
      <c r="O15" s="225">
        <f>'ფიტოპათ '!K22</f>
        <v>26750</v>
      </c>
      <c r="P15" s="225">
        <f>'ფიტოპათ '!M22</f>
        <v>26750</v>
      </c>
      <c r="Q15" s="225">
        <f>'ფიტოპათ '!O22</f>
        <v>26750</v>
      </c>
      <c r="R15" s="225">
        <f t="shared" si="2"/>
        <v>80250</v>
      </c>
      <c r="S15" s="232">
        <v>0</v>
      </c>
      <c r="T15" s="232">
        <v>0</v>
      </c>
      <c r="U15" s="232">
        <v>0</v>
      </c>
      <c r="V15" s="232">
        <f t="shared" si="3"/>
        <v>0</v>
      </c>
      <c r="W15" s="232">
        <v>0</v>
      </c>
      <c r="X15" s="232">
        <v>0</v>
      </c>
      <c r="Y15" s="232">
        <v>0</v>
      </c>
      <c r="Z15" s="232">
        <f t="shared" si="4"/>
        <v>0</v>
      </c>
      <c r="AA15" s="224">
        <f>'ფიტოპათ '!R22</f>
        <v>22860</v>
      </c>
      <c r="AB15" s="224">
        <f>'ფიტოპათ '!T22</f>
        <v>31769.460000000003</v>
      </c>
      <c r="AC15" s="224">
        <f>'ფიტოპათ '!V22</f>
        <v>26108</v>
      </c>
      <c r="AD15" s="224">
        <f t="shared" si="5"/>
        <v>80737.460000000006</v>
      </c>
      <c r="AE15" s="224">
        <f>'ფიტოპათ '!S22</f>
        <v>26750</v>
      </c>
      <c r="AF15" s="224">
        <f>'ფიტოპათ '!U22</f>
        <v>26750</v>
      </c>
      <c r="AG15" s="224">
        <f>'ფიტოპათ '!W22</f>
        <v>26750</v>
      </c>
      <c r="AH15" s="224">
        <f t="shared" si="6"/>
        <v>80250</v>
      </c>
      <c r="AI15" s="224">
        <v>0</v>
      </c>
      <c r="AJ15" s="224">
        <v>0</v>
      </c>
      <c r="AK15" s="224">
        <v>0</v>
      </c>
      <c r="AL15" s="224">
        <f t="shared" si="7"/>
        <v>0</v>
      </c>
      <c r="AM15" s="224">
        <v>0</v>
      </c>
      <c r="AN15" s="224">
        <v>0</v>
      </c>
      <c r="AO15" s="224">
        <v>0</v>
      </c>
      <c r="AP15" s="224">
        <f t="shared" si="8"/>
        <v>0</v>
      </c>
      <c r="AQ15" s="234">
        <f>'ფიტოპათ '!Z22</f>
        <v>29410.55</v>
      </c>
      <c r="AR15" s="234">
        <f>'ფიტოპათ '!AB22</f>
        <v>24693.77</v>
      </c>
      <c r="AS15" s="234">
        <f>'ფიტოპათ '!AD22</f>
        <v>73500.5</v>
      </c>
      <c r="AT15" s="225">
        <f t="shared" si="9"/>
        <v>127604.82</v>
      </c>
      <c r="AU15" s="225">
        <f>'ფიტოპათ '!AA22</f>
        <v>26750</v>
      </c>
      <c r="AV15" s="225">
        <f>'ფიტოპათ '!AC22</f>
        <v>26750</v>
      </c>
      <c r="AW15" s="225">
        <f>'ფიტოპათ '!AE22</f>
        <v>26750</v>
      </c>
      <c r="AX15" s="225">
        <f t="shared" si="10"/>
        <v>80250</v>
      </c>
      <c r="AY15" s="225">
        <v>0</v>
      </c>
      <c r="AZ15" s="225">
        <v>0</v>
      </c>
      <c r="BA15" s="225">
        <v>0</v>
      </c>
      <c r="BB15" s="225">
        <f t="shared" si="11"/>
        <v>0</v>
      </c>
      <c r="BC15" s="225">
        <v>0</v>
      </c>
      <c r="BD15" s="225">
        <v>0</v>
      </c>
      <c r="BE15" s="225">
        <v>0</v>
      </c>
      <c r="BF15" s="225">
        <f t="shared" si="12"/>
        <v>0</v>
      </c>
      <c r="BG15" s="225">
        <f>'ფიტოპათ '!AH22</f>
        <v>24106.400000000001</v>
      </c>
      <c r="BH15" s="225">
        <f>'ფიტოპათ '!AJ22</f>
        <v>34512.290000000008</v>
      </c>
      <c r="BI15" s="225">
        <f>'ფიტოპათ '!AL22</f>
        <v>24693.000000000029</v>
      </c>
      <c r="BJ15" s="225">
        <f t="shared" si="13"/>
        <v>83311.690000000031</v>
      </c>
      <c r="BK15" s="225">
        <f>'ფიტოპათ '!AI22</f>
        <v>26750</v>
      </c>
      <c r="BL15" s="225">
        <f>'ფიტოპათ '!AK22</f>
        <v>26750</v>
      </c>
      <c r="BM15" s="225">
        <f>'ფიტოპათ '!AM22</f>
        <v>26750</v>
      </c>
      <c r="BN15" s="225">
        <f t="shared" si="14"/>
        <v>80250</v>
      </c>
      <c r="BO15" s="225">
        <v>0</v>
      </c>
      <c r="BP15" s="225">
        <v>0</v>
      </c>
      <c r="BQ15" s="225">
        <v>0</v>
      </c>
      <c r="BR15" s="225">
        <f t="shared" si="15"/>
        <v>0</v>
      </c>
      <c r="BS15" s="225">
        <v>0</v>
      </c>
      <c r="BT15" s="225">
        <v>0</v>
      </c>
      <c r="BU15" s="225">
        <v>0</v>
      </c>
      <c r="BV15" s="225">
        <f t="shared" si="16"/>
        <v>0</v>
      </c>
      <c r="BW15" s="222"/>
      <c r="BX15" s="222"/>
    </row>
    <row r="16" spans="1:76" s="150" customFormat="1" ht="50.1" customHeight="1" x14ac:dyDescent="0.35">
      <c r="A16" s="147">
        <v>9</v>
      </c>
      <c r="B16" s="280" t="s">
        <v>19</v>
      </c>
      <c r="C16" s="280"/>
      <c r="D16" s="280"/>
      <c r="E16" s="280"/>
      <c r="F16" s="53">
        <f>'აგრარული და მემბრ'!D21</f>
        <v>388497</v>
      </c>
      <c r="G16" s="53">
        <f>'აგრარული და მემბრ'!E21</f>
        <v>367100</v>
      </c>
      <c r="H16" s="53">
        <f>'აგრარული და მემბრ'!F21</f>
        <v>0</v>
      </c>
      <c r="I16" s="53">
        <f>'აგრარული და მემბრ'!G21</f>
        <v>0</v>
      </c>
      <c r="J16" s="52">
        <f t="shared" si="0"/>
        <v>755597</v>
      </c>
      <c r="K16" s="148">
        <f>'აგრარული და მემბრ'!J21</f>
        <v>20620</v>
      </c>
      <c r="L16" s="148">
        <f>'აგრარული და მემბრ'!L21</f>
        <v>27850</v>
      </c>
      <c r="M16" s="148">
        <f>'აგრარული და მემბრ'!N21</f>
        <v>22420</v>
      </c>
      <c r="N16" s="226">
        <f t="shared" si="1"/>
        <v>70890</v>
      </c>
      <c r="O16" s="226">
        <f>'აგრარული და მემბრ'!K21</f>
        <v>30590</v>
      </c>
      <c r="P16" s="226">
        <f>'აგრარული და მემბრ'!M21</f>
        <v>30590</v>
      </c>
      <c r="Q16" s="226">
        <f>'აგრარული და მემბრ'!O21</f>
        <v>30590</v>
      </c>
      <c r="R16" s="226">
        <f t="shared" si="2"/>
        <v>91770</v>
      </c>
      <c r="S16" s="227">
        <v>0</v>
      </c>
      <c r="T16" s="227">
        <v>0</v>
      </c>
      <c r="U16" s="227">
        <v>0</v>
      </c>
      <c r="V16" s="227">
        <f t="shared" si="3"/>
        <v>0</v>
      </c>
      <c r="W16" s="227">
        <v>0</v>
      </c>
      <c r="X16" s="227">
        <v>0</v>
      </c>
      <c r="Y16" s="227">
        <v>0</v>
      </c>
      <c r="Z16" s="227">
        <f t="shared" si="4"/>
        <v>0</v>
      </c>
      <c r="AA16" s="226">
        <f>'აგრარული და მემბრ'!R21</f>
        <v>20620</v>
      </c>
      <c r="AB16" s="226">
        <f>'აგრარული და მემბრ'!T21</f>
        <v>27870.5</v>
      </c>
      <c r="AC16" s="226">
        <f>'აგრარული და მემბრ'!V21</f>
        <v>33452.1</v>
      </c>
      <c r="AD16" s="226">
        <f t="shared" si="5"/>
        <v>81942.600000000006</v>
      </c>
      <c r="AE16" s="226">
        <f>'აგრარული და მემბრ'!S21</f>
        <v>30590</v>
      </c>
      <c r="AF16" s="226">
        <f>'აგრარული და მემბრ'!U21</f>
        <v>30590</v>
      </c>
      <c r="AG16" s="226">
        <f>'აგრარული და მემბრ'!W21</f>
        <v>30590</v>
      </c>
      <c r="AH16" s="226">
        <f t="shared" si="6"/>
        <v>91770</v>
      </c>
      <c r="AI16" s="226">
        <v>0</v>
      </c>
      <c r="AJ16" s="226">
        <v>0</v>
      </c>
      <c r="AK16" s="226">
        <v>0</v>
      </c>
      <c r="AL16" s="226">
        <f t="shared" si="7"/>
        <v>0</v>
      </c>
      <c r="AM16" s="226">
        <v>0</v>
      </c>
      <c r="AN16" s="226">
        <v>0</v>
      </c>
      <c r="AO16" s="226">
        <v>0</v>
      </c>
      <c r="AP16" s="226">
        <f t="shared" si="8"/>
        <v>0</v>
      </c>
      <c r="AQ16" s="229">
        <f>'აგრარული და მემბრ'!Z21</f>
        <v>23665.45</v>
      </c>
      <c r="AR16" s="229">
        <f>'აგრარული და მემბრ'!AB21</f>
        <v>20694.290000000008</v>
      </c>
      <c r="AS16" s="229">
        <f>'აგრარული და მემბრ'!AD21</f>
        <v>25127.470000000008</v>
      </c>
      <c r="AT16" s="230">
        <f t="shared" si="9"/>
        <v>69487.210000000021</v>
      </c>
      <c r="AU16" s="230">
        <f>'აგრარული და მემბრ'!AA21</f>
        <v>30590</v>
      </c>
      <c r="AV16" s="230">
        <f>'აგრარული და მემბრ'!AC21</f>
        <v>30590</v>
      </c>
      <c r="AW16" s="230">
        <f>'აგრარული და მემბრ'!AE21</f>
        <v>30590</v>
      </c>
      <c r="AX16" s="230">
        <f t="shared" si="10"/>
        <v>91770</v>
      </c>
      <c r="AY16" s="230">
        <v>0</v>
      </c>
      <c r="AZ16" s="230">
        <v>0</v>
      </c>
      <c r="BA16" s="230">
        <v>0</v>
      </c>
      <c r="BB16" s="230">
        <f t="shared" si="11"/>
        <v>0</v>
      </c>
      <c r="BC16" s="230">
        <v>0</v>
      </c>
      <c r="BD16" s="230">
        <v>0</v>
      </c>
      <c r="BE16" s="230">
        <v>0</v>
      </c>
      <c r="BF16" s="230">
        <f t="shared" si="12"/>
        <v>0</v>
      </c>
      <c r="BG16" s="230">
        <f>'აგრარული და მემბრ'!AH21</f>
        <v>21050.099999999984</v>
      </c>
      <c r="BH16" s="230">
        <f>'აგრარული და მემბრ'!AJ21</f>
        <v>31826</v>
      </c>
      <c r="BI16" s="230">
        <f>'აგრარული და მემბრ'!AL21</f>
        <v>78538.430000000008</v>
      </c>
      <c r="BJ16" s="230">
        <f t="shared" si="13"/>
        <v>131414.53</v>
      </c>
      <c r="BK16" s="230">
        <f>'აგრარული და მემბრ'!AI21</f>
        <v>30590</v>
      </c>
      <c r="BL16" s="230">
        <f>'აგრარული და მემბრ'!AK21</f>
        <v>30590</v>
      </c>
      <c r="BM16" s="230">
        <f>'აგრარული და მემბრ'!AM21</f>
        <v>30590</v>
      </c>
      <c r="BN16" s="230">
        <f t="shared" si="14"/>
        <v>91770</v>
      </c>
      <c r="BO16" s="230">
        <v>0</v>
      </c>
      <c r="BP16" s="230">
        <v>0</v>
      </c>
      <c r="BQ16" s="230">
        <v>0</v>
      </c>
      <c r="BR16" s="230">
        <f t="shared" si="15"/>
        <v>0</v>
      </c>
      <c r="BS16" s="230">
        <v>0</v>
      </c>
      <c r="BT16" s="230">
        <v>0</v>
      </c>
      <c r="BU16" s="230">
        <v>0</v>
      </c>
      <c r="BV16" s="230">
        <f t="shared" si="16"/>
        <v>0</v>
      </c>
      <c r="BW16" s="231"/>
      <c r="BX16" s="231"/>
    </row>
    <row r="17" spans="1:76" s="48" customFormat="1" ht="48.75" customHeight="1" x14ac:dyDescent="0.35">
      <c r="A17" s="51">
        <v>10</v>
      </c>
      <c r="B17" s="287" t="s">
        <v>18</v>
      </c>
      <c r="C17" s="287"/>
      <c r="D17" s="287"/>
      <c r="E17" s="287"/>
      <c r="F17" s="53">
        <f>'ნიკო ბერძ'!D30</f>
        <v>244986</v>
      </c>
      <c r="G17" s="53">
        <f>'ნიკო ბერძ'!E30</f>
        <v>431220</v>
      </c>
      <c r="H17" s="53">
        <f>'ნიკო ბერძ'!F30</f>
        <v>20000</v>
      </c>
      <c r="I17" s="53">
        <f>'ნიკო ბერძ'!G30</f>
        <v>0</v>
      </c>
      <c r="J17" s="54">
        <f t="shared" si="0"/>
        <v>696206</v>
      </c>
      <c r="K17" s="56">
        <f>'ნიკო ბერძ'!J30</f>
        <v>14560</v>
      </c>
      <c r="L17" s="56">
        <f>'ნიკო ბერძ'!L30</f>
        <v>14560</v>
      </c>
      <c r="M17" s="56">
        <f>'ნიკო ბერძ'!N30</f>
        <v>22222</v>
      </c>
      <c r="N17" s="224">
        <f t="shared" si="1"/>
        <v>51342</v>
      </c>
      <c r="O17" s="224">
        <f>'ნიკო ბერძ'!K30</f>
        <v>25100</v>
      </c>
      <c r="P17" s="224">
        <f>'ნიკო ბერძ'!M30</f>
        <v>25100</v>
      </c>
      <c r="Q17" s="224">
        <f>'ნიკო ბერძ'!O30</f>
        <v>25100</v>
      </c>
      <c r="R17" s="224">
        <f t="shared" si="2"/>
        <v>75300</v>
      </c>
      <c r="S17" s="232">
        <v>0</v>
      </c>
      <c r="T17" s="232">
        <v>0</v>
      </c>
      <c r="U17" s="232">
        <v>0</v>
      </c>
      <c r="V17" s="232">
        <f t="shared" si="3"/>
        <v>0</v>
      </c>
      <c r="W17" s="232">
        <v>0</v>
      </c>
      <c r="X17" s="232">
        <v>0</v>
      </c>
      <c r="Y17" s="232">
        <v>0</v>
      </c>
      <c r="Z17" s="232">
        <f t="shared" si="4"/>
        <v>0</v>
      </c>
      <c r="AA17" s="224">
        <f>'ნიკო ბერძ'!R30</f>
        <v>15888.5</v>
      </c>
      <c r="AB17" s="224">
        <f>'ნიკო ბერძ'!T30</f>
        <v>14760</v>
      </c>
      <c r="AC17" s="224">
        <f>'ნიკო ბერძ'!V30</f>
        <v>16663.699999999997</v>
      </c>
      <c r="AD17" s="224">
        <f t="shared" si="5"/>
        <v>47312.2</v>
      </c>
      <c r="AE17" s="224">
        <f>'ნიკო ბერძ'!S16</f>
        <v>25100</v>
      </c>
      <c r="AF17" s="224">
        <f>'ნიკო ბერძ'!U16</f>
        <v>25100</v>
      </c>
      <c r="AG17" s="224">
        <f>'ნიკო ბერძ'!W16</f>
        <v>25100</v>
      </c>
      <c r="AH17" s="224">
        <f t="shared" si="6"/>
        <v>75300</v>
      </c>
      <c r="AI17" s="224">
        <v>0</v>
      </c>
      <c r="AJ17" s="224">
        <v>0</v>
      </c>
      <c r="AK17" s="224">
        <v>0</v>
      </c>
      <c r="AL17" s="224">
        <f t="shared" si="7"/>
        <v>0</v>
      </c>
      <c r="AM17" s="224">
        <v>0</v>
      </c>
      <c r="AN17" s="224">
        <v>0</v>
      </c>
      <c r="AO17" s="224">
        <v>0</v>
      </c>
      <c r="AP17" s="224">
        <f t="shared" si="8"/>
        <v>0</v>
      </c>
      <c r="AQ17" s="234">
        <f>'ნიკო ბერძ'!Z30</f>
        <v>20272.380000000005</v>
      </c>
      <c r="AR17" s="234">
        <f>'ნიკო ბერძ'!AC30</f>
        <v>19075.449999999997</v>
      </c>
      <c r="AS17" s="234">
        <f>'ნიკო ბერძ'!AF30</f>
        <v>19021.120000000014</v>
      </c>
      <c r="AT17" s="225">
        <f t="shared" si="9"/>
        <v>58368.950000000012</v>
      </c>
      <c r="AU17" s="225">
        <f>'ნიკო ბერძ'!AA30</f>
        <v>25100</v>
      </c>
      <c r="AV17" s="225">
        <f>'ნიკო ბერძ'!AD30</f>
        <v>25100</v>
      </c>
      <c r="AW17" s="225">
        <f>'ნიკო ბერძ'!AG30</f>
        <v>47265</v>
      </c>
      <c r="AX17" s="225">
        <f t="shared" si="10"/>
        <v>97465</v>
      </c>
      <c r="AY17" s="225">
        <f>'ნიკო ბერძ'!AB30</f>
        <v>0</v>
      </c>
      <c r="AZ17" s="225">
        <f>'ნიკო ბერძ'!AE30</f>
        <v>0</v>
      </c>
      <c r="BA17" s="225">
        <f>'ნიკო ბერძ'!AH30</f>
        <v>3700</v>
      </c>
      <c r="BB17" s="225">
        <f t="shared" si="11"/>
        <v>3700</v>
      </c>
      <c r="BC17" s="225">
        <v>0</v>
      </c>
      <c r="BD17" s="225">
        <v>0</v>
      </c>
      <c r="BE17" s="225">
        <v>0</v>
      </c>
      <c r="BF17" s="225">
        <f t="shared" si="12"/>
        <v>0</v>
      </c>
      <c r="BG17" s="225">
        <f>'ნიკო ბერძ'!AL30</f>
        <v>20985.5</v>
      </c>
      <c r="BH17" s="225">
        <f>'ნიკო ბერძ'!AO30</f>
        <v>20348.990000000002</v>
      </c>
      <c r="BI17" s="225">
        <f>'ნიკო ბერძ'!AR30</f>
        <v>33153.649999999994</v>
      </c>
      <c r="BJ17" s="225">
        <f t="shared" si="13"/>
        <v>74488.14</v>
      </c>
      <c r="BK17" s="225">
        <f>'ნიკო ბერძ'!AM30</f>
        <v>42753.5</v>
      </c>
      <c r="BL17" s="225">
        <f>'ნიკო ბერძ'!AP30</f>
        <v>25100</v>
      </c>
      <c r="BM17" s="225">
        <f>'ნიკო ბერძ'!AS30</f>
        <v>96670</v>
      </c>
      <c r="BN17" s="225">
        <f t="shared" si="14"/>
        <v>164523.5</v>
      </c>
      <c r="BO17" s="225">
        <f>'ნიკო ბერძ'!AN30</f>
        <v>13941.8</v>
      </c>
      <c r="BP17" s="225">
        <f>'ნიკო ბერძ'!AQ30</f>
        <v>0</v>
      </c>
      <c r="BQ17" s="225">
        <f>'ნიკო ბერძ'!AT30</f>
        <v>0</v>
      </c>
      <c r="BR17" s="225">
        <f t="shared" si="15"/>
        <v>13941.8</v>
      </c>
      <c r="BS17" s="225">
        <v>0</v>
      </c>
      <c r="BT17" s="225">
        <v>0</v>
      </c>
      <c r="BU17" s="225">
        <v>0</v>
      </c>
      <c r="BV17" s="225">
        <f t="shared" si="16"/>
        <v>0</v>
      </c>
      <c r="BW17" s="222"/>
      <c r="BX17" s="222"/>
    </row>
    <row r="18" spans="1:76" s="150" customFormat="1" ht="34.5" customHeight="1" x14ac:dyDescent="0.35">
      <c r="A18" s="147">
        <v>11</v>
      </c>
      <c r="B18" s="280" t="s">
        <v>33</v>
      </c>
      <c r="C18" s="280"/>
      <c r="D18" s="280"/>
      <c r="E18" s="281"/>
      <c r="F18" s="53">
        <f>პროფესიული!D22</f>
        <v>567495</v>
      </c>
      <c r="G18" s="53">
        <f>პროფესიული!E22</f>
        <v>0</v>
      </c>
      <c r="H18" s="53">
        <f>პროფესიული!F22</f>
        <v>52935</v>
      </c>
      <c r="I18" s="53">
        <f>პროფესიული!G22</f>
        <v>0</v>
      </c>
      <c r="J18" s="52">
        <f t="shared" si="0"/>
        <v>620430</v>
      </c>
      <c r="K18" s="149">
        <f>პროფესიული!J22</f>
        <v>13910</v>
      </c>
      <c r="L18" s="149">
        <f>პროფესიული!L22</f>
        <v>40589.599999999999</v>
      </c>
      <c r="M18" s="149">
        <f>პროფესიული!N22</f>
        <v>25027</v>
      </c>
      <c r="N18" s="226">
        <f t="shared" si="1"/>
        <v>79526.600000000006</v>
      </c>
      <c r="O18" s="227">
        <v>0</v>
      </c>
      <c r="P18" s="227">
        <v>0</v>
      </c>
      <c r="Q18" s="227">
        <v>0</v>
      </c>
      <c r="R18" s="227">
        <f t="shared" si="2"/>
        <v>0</v>
      </c>
      <c r="S18" s="227">
        <v>0</v>
      </c>
      <c r="T18" s="227">
        <v>0</v>
      </c>
      <c r="U18" s="227">
        <v>0</v>
      </c>
      <c r="V18" s="227">
        <f t="shared" si="3"/>
        <v>0</v>
      </c>
      <c r="W18" s="227">
        <v>0</v>
      </c>
      <c r="X18" s="227">
        <v>0</v>
      </c>
      <c r="Y18" s="227">
        <v>0</v>
      </c>
      <c r="Z18" s="227">
        <f t="shared" si="4"/>
        <v>0</v>
      </c>
      <c r="AA18" s="226">
        <f>პროფესიული!R22</f>
        <v>36189</v>
      </c>
      <c r="AB18" s="226">
        <f>პროფესიული!T22</f>
        <v>32461.5</v>
      </c>
      <c r="AC18" s="226">
        <f>პროფესიული!V22</f>
        <v>24661</v>
      </c>
      <c r="AD18" s="226">
        <f t="shared" si="5"/>
        <v>93311.5</v>
      </c>
      <c r="AE18" s="228">
        <v>0</v>
      </c>
      <c r="AF18" s="228">
        <v>0</v>
      </c>
      <c r="AG18" s="228">
        <v>0</v>
      </c>
      <c r="AH18" s="228">
        <f t="shared" si="6"/>
        <v>0</v>
      </c>
      <c r="AI18" s="226">
        <f>პროფესიული!S22</f>
        <v>4650</v>
      </c>
      <c r="AJ18" s="226">
        <f>პროფესიული!U22</f>
        <v>420</v>
      </c>
      <c r="AK18" s="226">
        <v>0</v>
      </c>
      <c r="AL18" s="228">
        <f t="shared" si="7"/>
        <v>5070</v>
      </c>
      <c r="AM18" s="226">
        <v>0</v>
      </c>
      <c r="AN18" s="226">
        <v>0</v>
      </c>
      <c r="AO18" s="226">
        <v>0</v>
      </c>
      <c r="AP18" s="226">
        <f t="shared" si="8"/>
        <v>0</v>
      </c>
      <c r="AQ18" s="229">
        <f>პროფესიული!Z22</f>
        <v>55522.619999999988</v>
      </c>
      <c r="AR18" s="229">
        <f>პროფესიული!AB22</f>
        <v>36893.050000000003</v>
      </c>
      <c r="AS18" s="229">
        <f>პროფესიული!AD22</f>
        <v>24815.619999999992</v>
      </c>
      <c r="AT18" s="230">
        <f t="shared" si="9"/>
        <v>117231.28999999998</v>
      </c>
      <c r="AU18" s="230">
        <v>0</v>
      </c>
      <c r="AV18" s="230">
        <v>0</v>
      </c>
      <c r="AW18" s="230">
        <v>0</v>
      </c>
      <c r="AX18" s="230">
        <f t="shared" si="10"/>
        <v>0</v>
      </c>
      <c r="AY18" s="230">
        <f>პროფესიული!AA22</f>
        <v>0</v>
      </c>
      <c r="AZ18" s="230">
        <f>პროფესიული!AC22</f>
        <v>0</v>
      </c>
      <c r="BA18" s="230">
        <f>პროფესიული!AE22</f>
        <v>0</v>
      </c>
      <c r="BB18" s="230">
        <f t="shared" si="11"/>
        <v>0</v>
      </c>
      <c r="BC18" s="230">
        <v>0</v>
      </c>
      <c r="BD18" s="230">
        <v>0</v>
      </c>
      <c r="BE18" s="230">
        <v>0</v>
      </c>
      <c r="BF18" s="230">
        <f t="shared" si="12"/>
        <v>0</v>
      </c>
      <c r="BG18" s="230">
        <f>პროფესიული!AH22</f>
        <v>43374.100000000006</v>
      </c>
      <c r="BH18" s="230">
        <f>პროფესიული!AJ22</f>
        <v>25919.379999999997</v>
      </c>
      <c r="BI18" s="230">
        <f>პროფესიული!AL22</f>
        <v>61517</v>
      </c>
      <c r="BJ18" s="230">
        <f t="shared" si="13"/>
        <v>130810.48000000001</v>
      </c>
      <c r="BK18" s="230">
        <v>0</v>
      </c>
      <c r="BL18" s="230">
        <v>0</v>
      </c>
      <c r="BM18" s="230">
        <v>0</v>
      </c>
      <c r="BN18" s="230">
        <f t="shared" si="14"/>
        <v>0</v>
      </c>
      <c r="BO18" s="230">
        <f>პროფესიული!AI22</f>
        <v>0</v>
      </c>
      <c r="BP18" s="230">
        <f>პროფესიული!AK22</f>
        <v>12350</v>
      </c>
      <c r="BQ18" s="230">
        <f>პროფესიული!AM22</f>
        <v>0</v>
      </c>
      <c r="BR18" s="230">
        <f t="shared" si="15"/>
        <v>12350</v>
      </c>
      <c r="BS18" s="230">
        <v>0</v>
      </c>
      <c r="BT18" s="230">
        <v>0</v>
      </c>
      <c r="BU18" s="230">
        <v>0</v>
      </c>
      <c r="BV18" s="230">
        <f t="shared" si="16"/>
        <v>0</v>
      </c>
      <c r="BW18" s="231"/>
      <c r="BX18" s="231"/>
    </row>
    <row r="19" spans="1:76" s="48" customFormat="1" ht="57" customHeight="1" x14ac:dyDescent="0.35">
      <c r="A19" s="51">
        <v>12</v>
      </c>
      <c r="B19" s="287" t="s">
        <v>37</v>
      </c>
      <c r="C19" s="287"/>
      <c r="D19" s="287"/>
      <c r="E19" s="287"/>
      <c r="F19" s="53">
        <f>'შიდა საუნივერს.გრანტ'!C122</f>
        <v>269350</v>
      </c>
      <c r="G19" s="53">
        <f>'შიდა საუნივერს.გრანტ'!E15</f>
        <v>0</v>
      </c>
      <c r="H19" s="53">
        <f>'შიდა საუნივერს.გრანტ'!F15</f>
        <v>0</v>
      </c>
      <c r="I19" s="53">
        <f>'შიდა საუნივერს.გრანტ'!G15</f>
        <v>0</v>
      </c>
      <c r="J19" s="54">
        <f t="shared" si="0"/>
        <v>269350</v>
      </c>
      <c r="K19" s="56">
        <f>'შიდა საუნივერს.გრანტ'!J123</f>
        <v>0</v>
      </c>
      <c r="L19" s="56">
        <f>'შიდა საუნივერს.გრანტ'!K123</f>
        <v>0</v>
      </c>
      <c r="M19" s="56">
        <f>'შიდა საუნივერს.გრანტ'!L123</f>
        <v>1800</v>
      </c>
      <c r="N19" s="224">
        <f t="shared" si="1"/>
        <v>1800</v>
      </c>
      <c r="O19" s="232">
        <v>0</v>
      </c>
      <c r="P19" s="232">
        <v>0</v>
      </c>
      <c r="Q19" s="232">
        <v>0</v>
      </c>
      <c r="R19" s="232">
        <f t="shared" si="2"/>
        <v>0</v>
      </c>
      <c r="S19" s="232">
        <v>0</v>
      </c>
      <c r="T19" s="232">
        <v>0</v>
      </c>
      <c r="U19" s="232">
        <v>0</v>
      </c>
      <c r="V19" s="232">
        <f t="shared" si="3"/>
        <v>0</v>
      </c>
      <c r="W19" s="232">
        <v>0</v>
      </c>
      <c r="X19" s="232">
        <v>0</v>
      </c>
      <c r="Y19" s="232">
        <v>0</v>
      </c>
      <c r="Z19" s="232">
        <f t="shared" si="4"/>
        <v>0</v>
      </c>
      <c r="AA19" s="224">
        <f>'შიდა საუნივერს.გრანტ'!N123</f>
        <v>10365.880000000001</v>
      </c>
      <c r="AB19" s="224">
        <f>'შიდა საუნივერს.გრანტ'!O123</f>
        <v>11852.195</v>
      </c>
      <c r="AC19" s="224">
        <f>'შიდა საუნივერს.გრანტ'!P123</f>
        <v>21163</v>
      </c>
      <c r="AD19" s="224">
        <f t="shared" si="5"/>
        <v>43381.074999999997</v>
      </c>
      <c r="AE19" s="224">
        <v>0</v>
      </c>
      <c r="AF19" s="224">
        <v>0</v>
      </c>
      <c r="AG19" s="224">
        <v>0</v>
      </c>
      <c r="AH19" s="224">
        <f t="shared" si="6"/>
        <v>0</v>
      </c>
      <c r="AI19" s="224">
        <v>0</v>
      </c>
      <c r="AJ19" s="224">
        <v>0</v>
      </c>
      <c r="AK19" s="224">
        <v>0</v>
      </c>
      <c r="AL19" s="224">
        <f t="shared" si="7"/>
        <v>0</v>
      </c>
      <c r="AM19" s="224">
        <v>0</v>
      </c>
      <c r="AN19" s="224">
        <v>0</v>
      </c>
      <c r="AO19" s="224">
        <v>0</v>
      </c>
      <c r="AP19" s="224">
        <f t="shared" si="8"/>
        <v>0</v>
      </c>
      <c r="AQ19" s="234">
        <f>'შიდა საუნივერს.გრანტ'!R123</f>
        <v>35789.1</v>
      </c>
      <c r="AR19" s="234">
        <f>'შიდა საუნივერს.გრანტ'!S123</f>
        <v>6994.54</v>
      </c>
      <c r="AS19" s="234">
        <f>'შიდა საუნივერს.გრანტ'!T123</f>
        <v>22607.33</v>
      </c>
      <c r="AT19" s="225">
        <f t="shared" si="9"/>
        <v>65390.97</v>
      </c>
      <c r="AU19" s="225">
        <v>0</v>
      </c>
      <c r="AV19" s="225">
        <v>0</v>
      </c>
      <c r="AW19" s="225">
        <v>0</v>
      </c>
      <c r="AX19" s="225">
        <f t="shared" si="10"/>
        <v>0</v>
      </c>
      <c r="AY19" s="225">
        <v>0</v>
      </c>
      <c r="AZ19" s="225">
        <v>0</v>
      </c>
      <c r="BA19" s="225">
        <v>0</v>
      </c>
      <c r="BB19" s="225">
        <f t="shared" si="11"/>
        <v>0</v>
      </c>
      <c r="BC19" s="225">
        <v>0</v>
      </c>
      <c r="BD19" s="225">
        <v>0</v>
      </c>
      <c r="BE19" s="225">
        <v>0</v>
      </c>
      <c r="BF19" s="225">
        <f t="shared" si="12"/>
        <v>0</v>
      </c>
      <c r="BG19" s="225">
        <f>'შიდა საუნივერს.გრანტ'!V123</f>
        <v>11525.73</v>
      </c>
      <c r="BH19" s="225">
        <f>'შიდა საუნივერს.გრანტ'!W123</f>
        <v>35676.68</v>
      </c>
      <c r="BI19" s="225">
        <f>'შიდა საუნივერს.გრანტ'!X123</f>
        <v>34318.81</v>
      </c>
      <c r="BJ19" s="225">
        <f t="shared" si="13"/>
        <v>81521.22</v>
      </c>
      <c r="BK19" s="225">
        <v>0</v>
      </c>
      <c r="BL19" s="225">
        <v>0</v>
      </c>
      <c r="BM19" s="225">
        <v>0</v>
      </c>
      <c r="BN19" s="225">
        <f t="shared" si="14"/>
        <v>0</v>
      </c>
      <c r="BO19" s="225">
        <v>0</v>
      </c>
      <c r="BP19" s="225">
        <v>0</v>
      </c>
      <c r="BQ19" s="225">
        <v>0</v>
      </c>
      <c r="BR19" s="225">
        <f t="shared" si="15"/>
        <v>0</v>
      </c>
      <c r="BS19" s="225">
        <v>0</v>
      </c>
      <c r="BT19" s="225">
        <v>0</v>
      </c>
      <c r="BU19" s="225">
        <v>0</v>
      </c>
      <c r="BV19" s="225">
        <f t="shared" si="16"/>
        <v>0</v>
      </c>
      <c r="BW19" s="222"/>
      <c r="BX19" s="222"/>
    </row>
    <row r="20" spans="1:76" s="48" customFormat="1" x14ac:dyDescent="0.35">
      <c r="A20" s="37"/>
      <c r="B20" s="290" t="s">
        <v>13</v>
      </c>
      <c r="C20" s="290"/>
      <c r="D20" s="290"/>
      <c r="E20" s="290"/>
      <c r="F20" s="49">
        <f>SUM(F8:F19)</f>
        <v>16413884</v>
      </c>
      <c r="G20" s="49">
        <f>SUM(G8:G19)</f>
        <v>1393700</v>
      </c>
      <c r="H20" s="49">
        <f t="shared" ref="H20:I20" si="17">SUM(H8:H19)</f>
        <v>92935</v>
      </c>
      <c r="I20" s="49">
        <f t="shared" si="17"/>
        <v>4400</v>
      </c>
      <c r="J20" s="49">
        <f t="shared" ref="J20" si="18">SUM(J8:J19)</f>
        <v>17904919</v>
      </c>
      <c r="K20" s="50">
        <f>SUM(K8:K19)</f>
        <v>1009923.2</v>
      </c>
      <c r="L20" s="50">
        <f t="shared" ref="L20:N20" si="19">SUM(L8:L19)</f>
        <v>1042706.6499999999</v>
      </c>
      <c r="M20" s="50">
        <f t="shared" si="19"/>
        <v>970074.31</v>
      </c>
      <c r="N20" s="50">
        <f t="shared" si="19"/>
        <v>3022704.1599999997</v>
      </c>
      <c r="O20" s="235">
        <f>SUM(O8:O19)</f>
        <v>82440</v>
      </c>
      <c r="P20" s="235">
        <f t="shared" ref="P20:R20" si="20">SUM(P8:P19)</f>
        <v>82440</v>
      </c>
      <c r="Q20" s="235">
        <f t="shared" si="20"/>
        <v>82440</v>
      </c>
      <c r="R20" s="235">
        <f t="shared" si="20"/>
        <v>247320</v>
      </c>
      <c r="S20" s="235">
        <f ca="1">SUM(S8:S20)</f>
        <v>0</v>
      </c>
      <c r="T20" s="235">
        <f t="shared" ref="T20:V20" ca="1" si="21">SUM(T8:T20)</f>
        <v>0</v>
      </c>
      <c r="U20" s="235">
        <f t="shared" ca="1" si="21"/>
        <v>0</v>
      </c>
      <c r="V20" s="235">
        <f t="shared" ca="1" si="21"/>
        <v>0</v>
      </c>
      <c r="W20" s="235">
        <f>SUM(W8:W19)</f>
        <v>0</v>
      </c>
      <c r="X20" s="235">
        <f t="shared" ref="X20:AC20" si="22">SUM(X8:X19)</f>
        <v>0</v>
      </c>
      <c r="Y20" s="235">
        <f t="shared" si="22"/>
        <v>0</v>
      </c>
      <c r="Z20" s="235">
        <f t="shared" si="22"/>
        <v>0</v>
      </c>
      <c r="AA20" s="235">
        <f t="shared" si="22"/>
        <v>1005494.08</v>
      </c>
      <c r="AB20" s="235">
        <f t="shared" si="22"/>
        <v>1297011.165</v>
      </c>
      <c r="AC20" s="235">
        <f t="shared" si="22"/>
        <v>1382541.52</v>
      </c>
      <c r="AD20" s="235">
        <f>SUM(AD8:AD19)</f>
        <v>3685046.7650000006</v>
      </c>
      <c r="AE20" s="235">
        <f t="shared" ref="AE20:AG20" si="23">SUM(AE8:AE19)</f>
        <v>82440</v>
      </c>
      <c r="AF20" s="235">
        <f t="shared" si="23"/>
        <v>82440</v>
      </c>
      <c r="AG20" s="235">
        <f t="shared" si="23"/>
        <v>168360</v>
      </c>
      <c r="AH20" s="235">
        <f>SUM(AH8:AH19)</f>
        <v>333240</v>
      </c>
      <c r="AI20" s="235">
        <f t="shared" ref="AI20:AK20" si="24">SUM(AI8:AI19)</f>
        <v>4650</v>
      </c>
      <c r="AJ20" s="235">
        <f t="shared" si="24"/>
        <v>420</v>
      </c>
      <c r="AK20" s="235">
        <f t="shared" si="24"/>
        <v>15000</v>
      </c>
      <c r="AL20" s="235">
        <f>SUM(AL8:AL19)</f>
        <v>20070</v>
      </c>
      <c r="AM20" s="235">
        <f t="shared" ref="AM20:AO20" si="25">SUM(AM8:AM19)</f>
        <v>0</v>
      </c>
      <c r="AN20" s="235">
        <f t="shared" si="25"/>
        <v>0</v>
      </c>
      <c r="AO20" s="235">
        <f t="shared" si="25"/>
        <v>4400</v>
      </c>
      <c r="AP20" s="235">
        <f>SUM(AP8:AP19)</f>
        <v>4400</v>
      </c>
      <c r="AQ20" s="235">
        <f>SUM(AQ8:AQ19)</f>
        <v>2435253.39</v>
      </c>
      <c r="AR20" s="235">
        <f t="shared" ref="AR20:BF20" si="26">SUM(AR8:AR19)</f>
        <v>384822.92</v>
      </c>
      <c r="AS20" s="235">
        <f t="shared" si="26"/>
        <v>960547.94999999972</v>
      </c>
      <c r="AT20" s="235">
        <f t="shared" si="26"/>
        <v>3780624.2600000002</v>
      </c>
      <c r="AU20" s="235">
        <f t="shared" si="26"/>
        <v>123988.45</v>
      </c>
      <c r="AV20" s="235">
        <f t="shared" si="26"/>
        <v>106562.12</v>
      </c>
      <c r="AW20" s="235">
        <f t="shared" si="26"/>
        <v>125610</v>
      </c>
      <c r="AX20" s="235">
        <f t="shared" si="26"/>
        <v>356160.57</v>
      </c>
      <c r="AY20" s="235">
        <f t="shared" si="26"/>
        <v>3050</v>
      </c>
      <c r="AZ20" s="235">
        <f t="shared" si="26"/>
        <v>0</v>
      </c>
      <c r="BA20" s="235">
        <f t="shared" si="26"/>
        <v>3700</v>
      </c>
      <c r="BB20" s="235">
        <f t="shared" si="26"/>
        <v>6750</v>
      </c>
      <c r="BC20" s="235">
        <f t="shared" si="26"/>
        <v>0</v>
      </c>
      <c r="BD20" s="235">
        <f t="shared" si="26"/>
        <v>0</v>
      </c>
      <c r="BE20" s="235">
        <f t="shared" si="26"/>
        <v>0</v>
      </c>
      <c r="BF20" s="235">
        <f t="shared" si="26"/>
        <v>0</v>
      </c>
      <c r="BG20" s="236">
        <f>SUM(BG8:BG19)</f>
        <v>969452.42</v>
      </c>
      <c r="BH20" s="236">
        <f t="shared" ref="BH20:BV20" si="27">SUM(BH8:BH19)</f>
        <v>1181828.7999999998</v>
      </c>
      <c r="BI20" s="236">
        <f t="shared" si="27"/>
        <v>1986756.3199999998</v>
      </c>
      <c r="BJ20" s="236">
        <f t="shared" si="27"/>
        <v>4138037.54</v>
      </c>
      <c r="BK20" s="236">
        <f t="shared" si="27"/>
        <v>105469.31</v>
      </c>
      <c r="BL20" s="236">
        <f t="shared" si="27"/>
        <v>99113.739999999991</v>
      </c>
      <c r="BM20" s="236">
        <f t="shared" si="27"/>
        <v>174732.11</v>
      </c>
      <c r="BN20" s="236">
        <f t="shared" si="27"/>
        <v>379315.16000000003</v>
      </c>
      <c r="BO20" s="236">
        <f t="shared" si="27"/>
        <v>13941.8</v>
      </c>
      <c r="BP20" s="236">
        <f t="shared" si="27"/>
        <v>12350</v>
      </c>
      <c r="BQ20" s="236">
        <f t="shared" si="27"/>
        <v>0</v>
      </c>
      <c r="BR20" s="236">
        <f t="shared" si="27"/>
        <v>26291.8</v>
      </c>
      <c r="BS20" s="236">
        <f t="shared" si="27"/>
        <v>0</v>
      </c>
      <c r="BT20" s="236">
        <f t="shared" si="27"/>
        <v>0</v>
      </c>
      <c r="BU20" s="236">
        <f t="shared" si="27"/>
        <v>0</v>
      </c>
      <c r="BV20" s="236">
        <f t="shared" si="27"/>
        <v>0</v>
      </c>
      <c r="BW20" s="222"/>
      <c r="BX20" s="222"/>
    </row>
    <row r="21" spans="1:76" x14ac:dyDescent="0.35">
      <c r="B21" s="48"/>
      <c r="C21" s="37"/>
      <c r="D21" s="37"/>
      <c r="E21" s="48"/>
      <c r="F21" s="78"/>
      <c r="G21" s="78"/>
      <c r="H21" s="78"/>
      <c r="I21" s="78"/>
      <c r="J21" s="78"/>
      <c r="AA21" s="237"/>
      <c r="AB21" s="237"/>
    </row>
    <row r="22" spans="1:76" x14ac:dyDescent="0.35">
      <c r="J22" s="80"/>
      <c r="L22" s="38"/>
      <c r="AA22" s="237"/>
      <c r="AB22" s="237"/>
      <c r="AC22" s="237"/>
      <c r="AD22" s="237"/>
      <c r="AO22" s="237"/>
      <c r="AT22" s="238"/>
      <c r="AU22" s="237"/>
      <c r="AV22" s="238"/>
      <c r="AW22" s="238"/>
      <c r="AX22" s="238"/>
      <c r="BE22" s="238"/>
      <c r="BG22" s="239"/>
    </row>
    <row r="23" spans="1:76" ht="409.5" customHeight="1" x14ac:dyDescent="0.35">
      <c r="B23" s="276" t="s">
        <v>473</v>
      </c>
      <c r="C23" s="276"/>
      <c r="D23" s="276"/>
      <c r="E23" s="276"/>
      <c r="F23" s="289" t="s">
        <v>451</v>
      </c>
      <c r="G23" s="289"/>
      <c r="H23" s="289"/>
      <c r="I23" s="289"/>
      <c r="J23" s="289"/>
    </row>
    <row r="27" spans="1:76" ht="74.25" customHeight="1" x14ac:dyDescent="0.35">
      <c r="F27" s="80"/>
    </row>
  </sheetData>
  <mergeCells count="43">
    <mergeCell ref="BG6:BJ6"/>
    <mergeCell ref="BK6:BN6"/>
    <mergeCell ref="BO6:BR6"/>
    <mergeCell ref="BS6:BV6"/>
    <mergeCell ref="BG5:BV5"/>
    <mergeCell ref="AQ5:BF5"/>
    <mergeCell ref="AQ6:AT6"/>
    <mergeCell ref="AU6:AX6"/>
    <mergeCell ref="AY6:BB6"/>
    <mergeCell ref="BC6:BF6"/>
    <mergeCell ref="AA5:AP5"/>
    <mergeCell ref="AA6:AD6"/>
    <mergeCell ref="AE6:AH6"/>
    <mergeCell ref="AI6:AL6"/>
    <mergeCell ref="AM6:AP6"/>
    <mergeCell ref="K5:Z5"/>
    <mergeCell ref="K6:N6"/>
    <mergeCell ref="O6:R6"/>
    <mergeCell ref="S6:V6"/>
    <mergeCell ref="W6:Z6"/>
    <mergeCell ref="B19:E19"/>
    <mergeCell ref="B23:E23"/>
    <mergeCell ref="F5:J5"/>
    <mergeCell ref="B9:E9"/>
    <mergeCell ref="B17:E17"/>
    <mergeCell ref="B15:E15"/>
    <mergeCell ref="B12:E12"/>
    <mergeCell ref="B10:E10"/>
    <mergeCell ref="B11:E11"/>
    <mergeCell ref="F23:J23"/>
    <mergeCell ref="B20:E20"/>
    <mergeCell ref="A1:J1"/>
    <mergeCell ref="A2:J2"/>
    <mergeCell ref="A3:J3"/>
    <mergeCell ref="A4:J4"/>
    <mergeCell ref="B18:E18"/>
    <mergeCell ref="B8:E8"/>
    <mergeCell ref="A6:E7"/>
    <mergeCell ref="F6:J6"/>
    <mergeCell ref="B13:E13"/>
    <mergeCell ref="B14:E14"/>
    <mergeCell ref="B16:E16"/>
    <mergeCell ref="A5:E5"/>
  </mergeCells>
  <pageMargins left="0.11811023622047245" right="0.11811023622047245" top="0.74803149606299213" bottom="0.15748031496062992" header="0.59055118110236227" footer="0.11811023622047245"/>
  <pageSetup scale="65" orientation="landscape" r:id="rId1"/>
  <rowBreaks count="1" manualBreakCount="1">
    <brk id="15"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P27"/>
  <sheetViews>
    <sheetView topLeftCell="A7" zoomScale="70" zoomScaleNormal="70" workbookViewId="0">
      <selection activeCell="L11" sqref="L11"/>
    </sheetView>
  </sheetViews>
  <sheetFormatPr defaultColWidth="8.875" defaultRowHeight="15" x14ac:dyDescent="0.3"/>
  <cols>
    <col min="1" max="1" width="4.875" style="32" customWidth="1"/>
    <col min="2" max="2" width="57.75" style="39" customWidth="1"/>
    <col min="3" max="5" width="17.125" style="32" customWidth="1"/>
    <col min="6" max="6" width="15.75" style="32" customWidth="1"/>
    <col min="7" max="7" width="15.625" style="32" customWidth="1"/>
    <col min="8" max="8" width="43.875" style="31" customWidth="1"/>
    <col min="9" max="9" width="24.375" style="31" customWidth="1"/>
    <col min="10" max="10" width="13.25" style="39" customWidth="1"/>
    <col min="11" max="11" width="13.625" style="31" customWidth="1"/>
    <col min="12" max="12" width="12.5" style="31" customWidth="1"/>
    <col min="13" max="13" width="13.375" style="31" customWidth="1"/>
    <col min="14" max="14" width="12.25" style="31" customWidth="1"/>
    <col min="15" max="15" width="12.375" style="31" customWidth="1"/>
    <col min="16" max="16" width="11.625" style="35" customWidth="1"/>
    <col min="17" max="41" width="15" style="35" customWidth="1"/>
    <col min="42" max="42" width="44.625" style="31" customWidth="1"/>
    <col min="43" max="16384" width="8.875" style="31"/>
  </cols>
  <sheetData>
    <row r="1" spans="1:42" ht="36" customHeight="1" x14ac:dyDescent="0.3">
      <c r="A1" s="340" t="s">
        <v>61</v>
      </c>
      <c r="B1" s="340"/>
      <c r="C1" s="340"/>
      <c r="D1" s="340"/>
      <c r="E1" s="340"/>
      <c r="F1" s="340"/>
      <c r="G1" s="340"/>
      <c r="H1" s="340"/>
      <c r="I1" s="340"/>
    </row>
    <row r="2" spans="1:42" ht="51.75" customHeight="1" x14ac:dyDescent="0.3">
      <c r="A2" s="20"/>
      <c r="B2" s="341" t="s">
        <v>0</v>
      </c>
      <c r="C2" s="341"/>
      <c r="D2" s="341"/>
      <c r="E2" s="341"/>
      <c r="F2" s="341"/>
      <c r="G2" s="341"/>
      <c r="H2" s="341"/>
      <c r="I2" s="341"/>
    </row>
    <row r="3" spans="1:42" ht="55.5" customHeight="1" x14ac:dyDescent="0.3">
      <c r="A3" s="20"/>
      <c r="B3" s="342" t="s">
        <v>8</v>
      </c>
      <c r="C3" s="342"/>
      <c r="D3" s="342"/>
      <c r="E3" s="342"/>
      <c r="F3" s="342"/>
      <c r="G3" s="342"/>
      <c r="H3" s="342"/>
      <c r="I3" s="342"/>
    </row>
    <row r="4" spans="1:42" ht="9" customHeight="1" x14ac:dyDescent="0.3">
      <c r="A4" s="20"/>
      <c r="B4" s="136"/>
      <c r="C4" s="20"/>
      <c r="D4" s="20"/>
      <c r="E4" s="20"/>
      <c r="F4" s="20"/>
      <c r="G4" s="20"/>
      <c r="H4" s="21"/>
      <c r="I4" s="21"/>
    </row>
    <row r="5" spans="1:42" ht="92.25" customHeight="1" x14ac:dyDescent="0.3">
      <c r="A5" s="27"/>
      <c r="B5" s="341" t="s">
        <v>459</v>
      </c>
      <c r="C5" s="341"/>
      <c r="D5" s="341"/>
      <c r="E5" s="341"/>
      <c r="F5" s="341"/>
      <c r="G5" s="341"/>
      <c r="H5" s="341"/>
      <c r="I5" s="341"/>
    </row>
    <row r="6" spans="1:42" ht="338.25" customHeight="1" x14ac:dyDescent="0.3">
      <c r="A6" s="341" t="s">
        <v>460</v>
      </c>
      <c r="B6" s="341"/>
      <c r="C6" s="341"/>
      <c r="D6" s="341"/>
      <c r="E6" s="341"/>
      <c r="F6" s="341"/>
      <c r="G6" s="341"/>
      <c r="H6" s="341"/>
      <c r="I6" s="341"/>
    </row>
    <row r="7" spans="1:42" ht="27.75" customHeight="1" x14ac:dyDescent="0.3">
      <c r="A7" s="25"/>
      <c r="B7" s="139"/>
      <c r="C7" s="25"/>
      <c r="D7" s="25"/>
      <c r="E7" s="25"/>
      <c r="F7" s="25"/>
      <c r="G7" s="25"/>
      <c r="H7" s="25"/>
      <c r="I7" s="25"/>
    </row>
    <row r="8" spans="1:42" ht="45.75" customHeight="1" x14ac:dyDescent="0.3">
      <c r="A8" s="339" t="s">
        <v>35</v>
      </c>
      <c r="B8" s="339"/>
      <c r="C8" s="339"/>
      <c r="D8" s="339"/>
      <c r="E8" s="339"/>
      <c r="F8" s="339"/>
      <c r="G8" s="339"/>
      <c r="H8" s="15" t="s">
        <v>53</v>
      </c>
      <c r="I8" s="25"/>
    </row>
    <row r="9" spans="1:42" ht="38.25" customHeight="1" x14ac:dyDescent="0.3">
      <c r="A9" s="24"/>
      <c r="B9" s="339" t="s">
        <v>36</v>
      </c>
      <c r="C9" s="339"/>
      <c r="D9" s="339"/>
      <c r="E9" s="339"/>
      <c r="F9" s="339"/>
      <c r="G9" s="339"/>
      <c r="H9" s="24" t="s">
        <v>67</v>
      </c>
      <c r="I9" s="25"/>
    </row>
    <row r="10" spans="1:42" ht="28.5" customHeight="1" x14ac:dyDescent="0.3">
      <c r="A10" s="339" t="s">
        <v>6</v>
      </c>
      <c r="B10" s="339"/>
      <c r="C10" s="339"/>
      <c r="D10" s="339"/>
      <c r="E10" s="339"/>
      <c r="F10" s="339"/>
      <c r="G10" s="339"/>
      <c r="H10" s="339"/>
      <c r="I10" s="339"/>
    </row>
    <row r="11" spans="1:42" x14ac:dyDescent="0.3">
      <c r="A11" s="60"/>
      <c r="B11" s="63"/>
      <c r="C11" s="60"/>
      <c r="D11" s="60"/>
      <c r="E11" s="60"/>
      <c r="F11" s="60"/>
      <c r="G11" s="60"/>
      <c r="H11" s="60"/>
      <c r="I11" s="60"/>
    </row>
    <row r="13" spans="1:42" s="88" customFormat="1" ht="45" customHeight="1" x14ac:dyDescent="0.25">
      <c r="A13" s="321" t="s">
        <v>1</v>
      </c>
      <c r="B13" s="321" t="s">
        <v>44</v>
      </c>
      <c r="C13" s="324" t="s">
        <v>2</v>
      </c>
      <c r="D13" s="324" t="s">
        <v>43</v>
      </c>
      <c r="E13" s="324"/>
      <c r="F13" s="324"/>
      <c r="G13" s="324"/>
      <c r="H13" s="324" t="s">
        <v>16</v>
      </c>
      <c r="I13" s="324" t="s">
        <v>3</v>
      </c>
      <c r="J13" s="320" t="s">
        <v>301</v>
      </c>
      <c r="K13" s="320"/>
      <c r="L13" s="320"/>
      <c r="M13" s="320"/>
      <c r="N13" s="320"/>
      <c r="O13" s="320"/>
      <c r="P13" s="320"/>
      <c r="Q13" s="320"/>
      <c r="R13" s="320" t="s">
        <v>300</v>
      </c>
      <c r="S13" s="320"/>
      <c r="T13" s="320"/>
      <c r="U13" s="320"/>
      <c r="V13" s="320"/>
      <c r="W13" s="320"/>
      <c r="X13" s="320"/>
      <c r="Y13" s="320"/>
      <c r="Z13" s="326" t="s">
        <v>366</v>
      </c>
      <c r="AA13" s="327"/>
      <c r="AB13" s="327"/>
      <c r="AC13" s="327"/>
      <c r="AD13" s="327"/>
      <c r="AE13" s="327"/>
      <c r="AF13" s="327"/>
      <c r="AG13" s="328"/>
      <c r="AH13" s="326" t="s">
        <v>414</v>
      </c>
      <c r="AI13" s="327"/>
      <c r="AJ13" s="327"/>
      <c r="AK13" s="327"/>
      <c r="AL13" s="327"/>
      <c r="AM13" s="327"/>
      <c r="AN13" s="327"/>
      <c r="AO13" s="328"/>
      <c r="AP13" s="324" t="s">
        <v>288</v>
      </c>
    </row>
    <row r="14" spans="1:42" s="88" customFormat="1" ht="45" customHeight="1" x14ac:dyDescent="0.25">
      <c r="A14" s="322"/>
      <c r="B14" s="322"/>
      <c r="C14" s="324"/>
      <c r="D14" s="321" t="s">
        <v>7</v>
      </c>
      <c r="E14" s="321" t="s">
        <v>12</v>
      </c>
      <c r="F14" s="321" t="s">
        <v>40</v>
      </c>
      <c r="G14" s="321" t="s">
        <v>41</v>
      </c>
      <c r="H14" s="324"/>
      <c r="I14" s="324"/>
      <c r="J14" s="320" t="s">
        <v>285</v>
      </c>
      <c r="K14" s="320"/>
      <c r="L14" s="320" t="s">
        <v>286</v>
      </c>
      <c r="M14" s="320"/>
      <c r="N14" s="320" t="s">
        <v>287</v>
      </c>
      <c r="O14" s="320"/>
      <c r="P14" s="320" t="s">
        <v>13</v>
      </c>
      <c r="Q14" s="320"/>
      <c r="R14" s="320" t="s">
        <v>297</v>
      </c>
      <c r="S14" s="320"/>
      <c r="T14" s="320" t="s">
        <v>298</v>
      </c>
      <c r="U14" s="320"/>
      <c r="V14" s="320" t="s">
        <v>299</v>
      </c>
      <c r="W14" s="320"/>
      <c r="X14" s="320" t="s">
        <v>13</v>
      </c>
      <c r="Y14" s="320"/>
      <c r="Z14" s="326" t="s">
        <v>363</v>
      </c>
      <c r="AA14" s="328"/>
      <c r="AB14" s="326" t="s">
        <v>364</v>
      </c>
      <c r="AC14" s="328"/>
      <c r="AD14" s="326" t="s">
        <v>365</v>
      </c>
      <c r="AE14" s="328"/>
      <c r="AF14" s="326" t="s">
        <v>13</v>
      </c>
      <c r="AG14" s="328"/>
      <c r="AH14" s="326" t="s">
        <v>415</v>
      </c>
      <c r="AI14" s="328"/>
      <c r="AJ14" s="326" t="s">
        <v>416</v>
      </c>
      <c r="AK14" s="328"/>
      <c r="AL14" s="326" t="s">
        <v>417</v>
      </c>
      <c r="AM14" s="328"/>
      <c r="AN14" s="326" t="s">
        <v>13</v>
      </c>
      <c r="AO14" s="328"/>
      <c r="AP14" s="324"/>
    </row>
    <row r="15" spans="1:42" s="88" customFormat="1" ht="74.25" customHeight="1" x14ac:dyDescent="0.25">
      <c r="A15" s="323"/>
      <c r="B15" s="323"/>
      <c r="C15" s="324"/>
      <c r="D15" s="323"/>
      <c r="E15" s="323"/>
      <c r="F15" s="323"/>
      <c r="G15" s="323"/>
      <c r="H15" s="324"/>
      <c r="I15" s="324"/>
      <c r="J15" s="94" t="s">
        <v>7</v>
      </c>
      <c r="K15" s="94" t="s">
        <v>12</v>
      </c>
      <c r="L15" s="94" t="s">
        <v>7</v>
      </c>
      <c r="M15" s="94" t="s">
        <v>12</v>
      </c>
      <c r="N15" s="94" t="s">
        <v>7</v>
      </c>
      <c r="O15" s="94" t="s">
        <v>12</v>
      </c>
      <c r="P15" s="94" t="s">
        <v>7</v>
      </c>
      <c r="Q15" s="94" t="s">
        <v>12</v>
      </c>
      <c r="R15" s="94" t="s">
        <v>7</v>
      </c>
      <c r="S15" s="94" t="s">
        <v>12</v>
      </c>
      <c r="T15" s="94" t="s">
        <v>7</v>
      </c>
      <c r="U15" s="94" t="s">
        <v>12</v>
      </c>
      <c r="V15" s="94" t="s">
        <v>7</v>
      </c>
      <c r="W15" s="94" t="s">
        <v>12</v>
      </c>
      <c r="X15" s="94" t="s">
        <v>7</v>
      </c>
      <c r="Y15" s="94" t="s">
        <v>12</v>
      </c>
      <c r="Z15" s="94" t="s">
        <v>7</v>
      </c>
      <c r="AA15" s="94" t="s">
        <v>12</v>
      </c>
      <c r="AB15" s="94" t="s">
        <v>7</v>
      </c>
      <c r="AC15" s="94" t="s">
        <v>12</v>
      </c>
      <c r="AD15" s="94" t="s">
        <v>7</v>
      </c>
      <c r="AE15" s="94" t="s">
        <v>12</v>
      </c>
      <c r="AF15" s="94" t="s">
        <v>7</v>
      </c>
      <c r="AG15" s="94" t="s">
        <v>12</v>
      </c>
      <c r="AH15" s="94" t="s">
        <v>7</v>
      </c>
      <c r="AI15" s="94" t="s">
        <v>12</v>
      </c>
      <c r="AJ15" s="94" t="s">
        <v>7</v>
      </c>
      <c r="AK15" s="94" t="s">
        <v>12</v>
      </c>
      <c r="AL15" s="94" t="s">
        <v>7</v>
      </c>
      <c r="AM15" s="94" t="s">
        <v>12</v>
      </c>
      <c r="AN15" s="94" t="s">
        <v>7</v>
      </c>
      <c r="AO15" s="94" t="s">
        <v>12</v>
      </c>
      <c r="AP15" s="324"/>
    </row>
    <row r="16" spans="1:42" s="100" customFormat="1" ht="109.5" customHeight="1" x14ac:dyDescent="0.35">
      <c r="A16" s="96">
        <v>1</v>
      </c>
      <c r="B16" s="86" t="s">
        <v>64</v>
      </c>
      <c r="C16" s="101">
        <f>D16+E16+F16+G16</f>
        <v>585094</v>
      </c>
      <c r="D16" s="101">
        <f>209460+52734+1900</f>
        <v>264094</v>
      </c>
      <c r="E16" s="101">
        <v>321000</v>
      </c>
      <c r="F16" s="101"/>
      <c r="G16" s="97"/>
      <c r="H16" s="86" t="s">
        <v>45</v>
      </c>
      <c r="I16" s="86" t="s">
        <v>46</v>
      </c>
      <c r="J16" s="83">
        <v>22000</v>
      </c>
      <c r="K16" s="103">
        <v>26750</v>
      </c>
      <c r="L16" s="83">
        <v>22000</v>
      </c>
      <c r="M16" s="103">
        <v>26750</v>
      </c>
      <c r="N16" s="83">
        <v>22000</v>
      </c>
      <c r="O16" s="103">
        <v>26750</v>
      </c>
      <c r="P16" s="99">
        <f>J16+L16+N16</f>
        <v>66000</v>
      </c>
      <c r="Q16" s="99">
        <f>K16+M16+O16</f>
        <v>80250</v>
      </c>
      <c r="R16" s="84">
        <v>22000</v>
      </c>
      <c r="S16" s="103">
        <v>26750</v>
      </c>
      <c r="T16" s="84">
        <v>22000</v>
      </c>
      <c r="U16" s="103">
        <v>26750</v>
      </c>
      <c r="V16" s="84">
        <v>22000</v>
      </c>
      <c r="W16" s="103">
        <v>26750</v>
      </c>
      <c r="X16" s="99">
        <f>R16+T16+V16</f>
        <v>66000</v>
      </c>
      <c r="Y16" s="99">
        <f>S16+U16+W16</f>
        <v>80250</v>
      </c>
      <c r="Z16" s="84">
        <v>22000</v>
      </c>
      <c r="AA16" s="137">
        <v>26750</v>
      </c>
      <c r="AB16" s="84">
        <v>22000</v>
      </c>
      <c r="AC16" s="137">
        <v>26750</v>
      </c>
      <c r="AD16" s="84">
        <v>22000</v>
      </c>
      <c r="AE16" s="103">
        <v>26750</v>
      </c>
      <c r="AF16" s="99">
        <f>Z16+AB16+AD16</f>
        <v>66000</v>
      </c>
      <c r="AG16" s="99">
        <f>AA16+AC16+AE16</f>
        <v>80250</v>
      </c>
      <c r="AH16" s="85">
        <v>22000</v>
      </c>
      <c r="AI16" s="103">
        <v>26750</v>
      </c>
      <c r="AJ16" s="84">
        <v>21814.290000000008</v>
      </c>
      <c r="AK16" s="103">
        <v>26750</v>
      </c>
      <c r="AL16" s="84">
        <v>20700.000000000029</v>
      </c>
      <c r="AM16" s="103">
        <v>26750</v>
      </c>
      <c r="AN16" s="99">
        <f>AH16+AJ16+AL16</f>
        <v>64514.290000000037</v>
      </c>
      <c r="AO16" s="99">
        <f>AI16+AK16+AM16</f>
        <v>80250</v>
      </c>
      <c r="AP16" s="321" t="s">
        <v>294</v>
      </c>
    </row>
    <row r="17" spans="1:42" s="100" customFormat="1" ht="84.75" customHeight="1" x14ac:dyDescent="0.35">
      <c r="A17" s="96">
        <v>2</v>
      </c>
      <c r="B17" s="86" t="s">
        <v>56</v>
      </c>
      <c r="C17" s="101">
        <f t="shared" ref="C17:C21" si="0">D17+E17+F17+G17</f>
        <v>25230</v>
      </c>
      <c r="D17" s="101">
        <f>15300+3000+1000+1830+6000-1900</f>
        <v>25230</v>
      </c>
      <c r="E17" s="101"/>
      <c r="F17" s="101"/>
      <c r="G17" s="97"/>
      <c r="H17" s="86" t="s">
        <v>45</v>
      </c>
      <c r="I17" s="86" t="s">
        <v>46</v>
      </c>
      <c r="J17" s="98"/>
      <c r="K17" s="98"/>
      <c r="L17" s="83">
        <v>530</v>
      </c>
      <c r="M17" s="98"/>
      <c r="N17" s="83">
        <v>530</v>
      </c>
      <c r="O17" s="98"/>
      <c r="P17" s="99">
        <f t="shared" ref="P17:P21" si="1">J17+L17+N17</f>
        <v>1060</v>
      </c>
      <c r="Q17" s="99">
        <f t="shared" ref="Q17:Q21" si="2">K17+M17+O17</f>
        <v>0</v>
      </c>
      <c r="R17" s="84">
        <v>530</v>
      </c>
      <c r="S17" s="99"/>
      <c r="T17" s="84">
        <v>805.51000000000022</v>
      </c>
      <c r="U17" s="99"/>
      <c r="V17" s="84">
        <v>1180</v>
      </c>
      <c r="W17" s="99"/>
      <c r="X17" s="99">
        <f t="shared" ref="X17:X21" si="3">R17+T17+V17</f>
        <v>2515.5100000000002</v>
      </c>
      <c r="Y17" s="99">
        <f t="shared" ref="Y17:Y21" si="4">S17+U17+W17</f>
        <v>0</v>
      </c>
      <c r="Z17" s="84">
        <v>1180</v>
      </c>
      <c r="AA17" s="99"/>
      <c r="AB17" s="84">
        <v>1180</v>
      </c>
      <c r="AC17" s="99"/>
      <c r="AD17" s="84">
        <v>1180</v>
      </c>
      <c r="AE17" s="99"/>
      <c r="AF17" s="99">
        <f t="shared" ref="AF17:AF21" si="5">Z17+AB17+AD17</f>
        <v>3540</v>
      </c>
      <c r="AG17" s="99">
        <f t="shared" ref="AG17:AG21" si="6">AA17+AC17+AE17</f>
        <v>0</v>
      </c>
      <c r="AH17" s="85">
        <v>1180</v>
      </c>
      <c r="AI17" s="99"/>
      <c r="AJ17" s="84">
        <v>1180</v>
      </c>
      <c r="AK17" s="99"/>
      <c r="AL17" s="84">
        <v>2180</v>
      </c>
      <c r="AM17" s="99"/>
      <c r="AN17" s="99">
        <f t="shared" ref="AN17:AN21" si="7">AH17+AJ17+AL17</f>
        <v>4540</v>
      </c>
      <c r="AO17" s="99">
        <f t="shared" ref="AO17:AO21" si="8">AI17+AK17+AM17</f>
        <v>0</v>
      </c>
      <c r="AP17" s="323"/>
    </row>
    <row r="18" spans="1:42" s="100" customFormat="1" ht="69" customHeight="1" x14ac:dyDescent="0.35">
      <c r="A18" s="96">
        <v>3</v>
      </c>
      <c r="B18" s="96" t="s">
        <v>93</v>
      </c>
      <c r="C18" s="101">
        <f t="shared" si="0"/>
        <v>21000</v>
      </c>
      <c r="D18" s="101">
        <f>(2800+3000+600+1500+1800+1000+1000+300)*2-3000</f>
        <v>21000</v>
      </c>
      <c r="E18" s="101"/>
      <c r="F18" s="101"/>
      <c r="G18" s="97"/>
      <c r="H18" s="86" t="s">
        <v>57</v>
      </c>
      <c r="I18" s="86" t="s">
        <v>92</v>
      </c>
      <c r="J18" s="138"/>
      <c r="K18" s="98"/>
      <c r="L18" s="98"/>
      <c r="M18" s="98"/>
      <c r="N18" s="98"/>
      <c r="O18" s="98"/>
      <c r="P18" s="99">
        <f t="shared" si="1"/>
        <v>0</v>
      </c>
      <c r="Q18" s="99">
        <f t="shared" si="2"/>
        <v>0</v>
      </c>
      <c r="R18" s="84">
        <v>330</v>
      </c>
      <c r="S18" s="99"/>
      <c r="T18" s="84">
        <v>960</v>
      </c>
      <c r="U18" s="99"/>
      <c r="V18" s="84">
        <v>1378</v>
      </c>
      <c r="W18" s="99"/>
      <c r="X18" s="99">
        <f t="shared" si="3"/>
        <v>2668</v>
      </c>
      <c r="Y18" s="99">
        <f t="shared" si="4"/>
        <v>0</v>
      </c>
      <c r="Z18" s="84">
        <v>2914</v>
      </c>
      <c r="AA18" s="99"/>
      <c r="AB18" s="84">
        <v>0</v>
      </c>
      <c r="AC18" s="99"/>
      <c r="AD18" s="84">
        <v>1645.5</v>
      </c>
      <c r="AE18" s="99"/>
      <c r="AF18" s="99">
        <f t="shared" si="5"/>
        <v>4559.5</v>
      </c>
      <c r="AG18" s="99">
        <f t="shared" si="6"/>
        <v>0</v>
      </c>
      <c r="AH18" s="85">
        <v>926.39999999999964</v>
      </c>
      <c r="AI18" s="99"/>
      <c r="AJ18" s="84">
        <v>518</v>
      </c>
      <c r="AK18" s="99"/>
      <c r="AL18" s="84">
        <v>1813</v>
      </c>
      <c r="AM18" s="99"/>
      <c r="AN18" s="99">
        <f t="shared" si="7"/>
        <v>3257.3999999999996</v>
      </c>
      <c r="AO18" s="99">
        <f t="shared" si="8"/>
        <v>0</v>
      </c>
      <c r="AP18" s="86" t="s">
        <v>293</v>
      </c>
    </row>
    <row r="19" spans="1:42" s="100" customFormat="1" ht="147" customHeight="1" x14ac:dyDescent="0.35">
      <c r="A19" s="96">
        <v>4</v>
      </c>
      <c r="B19" s="86" t="s">
        <v>48</v>
      </c>
      <c r="C19" s="101">
        <f t="shared" si="0"/>
        <v>3000</v>
      </c>
      <c r="D19" s="101">
        <f>3000</f>
        <v>3000</v>
      </c>
      <c r="E19" s="115"/>
      <c r="F19" s="115"/>
      <c r="G19" s="97"/>
      <c r="H19" s="86" t="s">
        <v>268</v>
      </c>
      <c r="I19" s="86" t="s">
        <v>24</v>
      </c>
      <c r="J19" s="86"/>
      <c r="K19" s="98"/>
      <c r="L19" s="98"/>
      <c r="M19" s="98"/>
      <c r="N19" s="98"/>
      <c r="O19" s="98"/>
      <c r="P19" s="99">
        <f t="shared" si="1"/>
        <v>0</v>
      </c>
      <c r="Q19" s="99">
        <f t="shared" si="2"/>
        <v>0</v>
      </c>
      <c r="R19" s="99"/>
      <c r="S19" s="99"/>
      <c r="T19" s="84">
        <v>3000</v>
      </c>
      <c r="U19" s="99"/>
      <c r="V19" s="99"/>
      <c r="W19" s="99"/>
      <c r="X19" s="99">
        <f t="shared" si="3"/>
        <v>3000</v>
      </c>
      <c r="Y19" s="99">
        <f t="shared" si="4"/>
        <v>0</v>
      </c>
      <c r="Z19" s="99"/>
      <c r="AA19" s="99"/>
      <c r="AB19" s="99"/>
      <c r="AC19" s="99"/>
      <c r="AD19" s="99"/>
      <c r="AE19" s="99"/>
      <c r="AF19" s="99">
        <f t="shared" si="5"/>
        <v>0</v>
      </c>
      <c r="AG19" s="99">
        <f t="shared" si="6"/>
        <v>0</v>
      </c>
      <c r="AH19" s="85">
        <v>0</v>
      </c>
      <c r="AI19" s="99"/>
      <c r="AJ19" s="84">
        <v>0</v>
      </c>
      <c r="AK19" s="99"/>
      <c r="AL19" s="84">
        <v>0</v>
      </c>
      <c r="AM19" s="99"/>
      <c r="AN19" s="99">
        <f t="shared" si="7"/>
        <v>0</v>
      </c>
      <c r="AO19" s="99">
        <f t="shared" si="8"/>
        <v>0</v>
      </c>
      <c r="AP19" s="86" t="s">
        <v>292</v>
      </c>
    </row>
    <row r="20" spans="1:42" s="100" customFormat="1" ht="213.6" customHeight="1" x14ac:dyDescent="0.35">
      <c r="A20" s="96">
        <v>5</v>
      </c>
      <c r="B20" s="102" t="s">
        <v>458</v>
      </c>
      <c r="C20" s="101">
        <f t="shared" si="0"/>
        <v>51850</v>
      </c>
      <c r="D20" s="101">
        <f>21300+1500+16100+11150+1800</f>
        <v>51850</v>
      </c>
      <c r="E20" s="115"/>
      <c r="F20" s="115"/>
      <c r="G20" s="101"/>
      <c r="H20" s="86" t="s">
        <v>57</v>
      </c>
      <c r="I20" s="86" t="s">
        <v>100</v>
      </c>
      <c r="J20" s="98"/>
      <c r="K20" s="98"/>
      <c r="L20" s="98"/>
      <c r="M20" s="98"/>
      <c r="N20" s="98"/>
      <c r="O20" s="98"/>
      <c r="P20" s="99">
        <f t="shared" si="1"/>
        <v>0</v>
      </c>
      <c r="Q20" s="99">
        <f t="shared" si="2"/>
        <v>0</v>
      </c>
      <c r="R20" s="99"/>
      <c r="S20" s="99"/>
      <c r="T20" s="99">
        <v>3458.95</v>
      </c>
      <c r="U20" s="99"/>
      <c r="V20" s="99">
        <v>500</v>
      </c>
      <c r="W20" s="99"/>
      <c r="X20" s="99">
        <f t="shared" si="3"/>
        <v>3958.95</v>
      </c>
      <c r="Y20" s="99">
        <f t="shared" si="4"/>
        <v>0</v>
      </c>
      <c r="Z20" s="99">
        <v>3316.55</v>
      </c>
      <c r="AA20" s="99"/>
      <c r="AB20" s="99">
        <v>1513.77</v>
      </c>
      <c r="AC20" s="99"/>
      <c r="AD20" s="99">
        <v>14425</v>
      </c>
      <c r="AE20" s="99"/>
      <c r="AF20" s="99">
        <f t="shared" si="5"/>
        <v>19255.32</v>
      </c>
      <c r="AG20" s="99">
        <f t="shared" si="6"/>
        <v>0</v>
      </c>
      <c r="AH20" s="99"/>
      <c r="AI20" s="99"/>
      <c r="AJ20" s="99"/>
      <c r="AK20" s="99"/>
      <c r="AL20" s="99"/>
      <c r="AM20" s="99"/>
      <c r="AN20" s="99">
        <f t="shared" si="7"/>
        <v>0</v>
      </c>
      <c r="AO20" s="99">
        <f t="shared" si="8"/>
        <v>0</v>
      </c>
      <c r="AP20" s="86" t="s">
        <v>396</v>
      </c>
    </row>
    <row r="21" spans="1:42" s="100" customFormat="1" ht="198.75" customHeight="1" x14ac:dyDescent="0.35">
      <c r="A21" s="96">
        <v>6</v>
      </c>
      <c r="B21" s="102" t="s">
        <v>97</v>
      </c>
      <c r="C21" s="101">
        <f t="shared" si="0"/>
        <v>101550</v>
      </c>
      <c r="D21" s="101">
        <f>66550+35000</f>
        <v>101550</v>
      </c>
      <c r="E21" s="115"/>
      <c r="F21" s="115"/>
      <c r="G21" s="101"/>
      <c r="H21" s="86" t="s">
        <v>57</v>
      </c>
      <c r="I21" s="86" t="s">
        <v>49</v>
      </c>
      <c r="J21" s="98"/>
      <c r="K21" s="98"/>
      <c r="L21" s="96">
        <v>10500</v>
      </c>
      <c r="M21" s="98"/>
      <c r="N21" s="96"/>
      <c r="O21" s="98"/>
      <c r="P21" s="99">
        <f t="shared" si="1"/>
        <v>10500</v>
      </c>
      <c r="Q21" s="99">
        <f t="shared" si="2"/>
        <v>0</v>
      </c>
      <c r="R21" s="99"/>
      <c r="S21" s="99"/>
      <c r="T21" s="84">
        <v>1545</v>
      </c>
      <c r="U21" s="99"/>
      <c r="V21" s="84">
        <v>1050</v>
      </c>
      <c r="W21" s="99"/>
      <c r="X21" s="99">
        <f t="shared" si="3"/>
        <v>2595</v>
      </c>
      <c r="Y21" s="99">
        <f t="shared" si="4"/>
        <v>0</v>
      </c>
      <c r="Z21" s="99"/>
      <c r="AA21" s="99"/>
      <c r="AB21" s="99"/>
      <c r="AC21" s="99"/>
      <c r="AD21" s="99">
        <v>34250</v>
      </c>
      <c r="AE21" s="99"/>
      <c r="AF21" s="99">
        <f t="shared" si="5"/>
        <v>34250</v>
      </c>
      <c r="AG21" s="99">
        <f t="shared" si="6"/>
        <v>0</v>
      </c>
      <c r="AH21" s="99"/>
      <c r="AI21" s="99"/>
      <c r="AJ21" s="99">
        <v>11000</v>
      </c>
      <c r="AK21" s="99"/>
      <c r="AL21" s="99"/>
      <c r="AM21" s="99"/>
      <c r="AN21" s="99">
        <f t="shared" si="7"/>
        <v>11000</v>
      </c>
      <c r="AO21" s="99">
        <f t="shared" si="8"/>
        <v>0</v>
      </c>
      <c r="AP21" s="86" t="s">
        <v>435</v>
      </c>
    </row>
    <row r="22" spans="1:42" s="105" customFormat="1" ht="21" customHeight="1" x14ac:dyDescent="0.35">
      <c r="A22" s="90"/>
      <c r="B22" s="90" t="s">
        <v>13</v>
      </c>
      <c r="C22" s="92">
        <f>SUM(C16:C21)</f>
        <v>787724</v>
      </c>
      <c r="D22" s="92">
        <f>SUM(D16:D21)</f>
        <v>466724</v>
      </c>
      <c r="E22" s="92">
        <f>SUM(E16:E21)</f>
        <v>321000</v>
      </c>
      <c r="F22" s="92">
        <f>SUM(F16:F21)</f>
        <v>0</v>
      </c>
      <c r="G22" s="92">
        <f>SUM(G16:G21)</f>
        <v>0</v>
      </c>
      <c r="H22" s="90"/>
      <c r="I22" s="90"/>
      <c r="J22" s="104">
        <f>SUM(J16:J21)</f>
        <v>22000</v>
      </c>
      <c r="K22" s="104">
        <f t="shared" ref="K22:Q22" si="9">SUM(K16:K21)</f>
        <v>26750</v>
      </c>
      <c r="L22" s="104">
        <f t="shared" si="9"/>
        <v>33030</v>
      </c>
      <c r="M22" s="104">
        <f t="shared" si="9"/>
        <v>26750</v>
      </c>
      <c r="N22" s="104">
        <f t="shared" si="9"/>
        <v>22530</v>
      </c>
      <c r="O22" s="104">
        <f t="shared" si="9"/>
        <v>26750</v>
      </c>
      <c r="P22" s="104">
        <f t="shared" si="9"/>
        <v>77560</v>
      </c>
      <c r="Q22" s="104">
        <f t="shared" si="9"/>
        <v>80250</v>
      </c>
      <c r="R22" s="104">
        <f>SUM(R16:R21)</f>
        <v>22860</v>
      </c>
      <c r="S22" s="104">
        <f t="shared" ref="S22:W22" si="10">SUM(S16:S21)</f>
        <v>26750</v>
      </c>
      <c r="T22" s="104">
        <f t="shared" si="10"/>
        <v>31769.460000000003</v>
      </c>
      <c r="U22" s="104">
        <f t="shared" si="10"/>
        <v>26750</v>
      </c>
      <c r="V22" s="104">
        <f t="shared" si="10"/>
        <v>26108</v>
      </c>
      <c r="W22" s="104">
        <f t="shared" si="10"/>
        <v>26750</v>
      </c>
      <c r="X22" s="104">
        <f>SUM(X16:X21)</f>
        <v>80737.459999999992</v>
      </c>
      <c r="Y22" s="104">
        <f>SUM(Y16:Y21)</f>
        <v>80250</v>
      </c>
      <c r="Z22" s="104">
        <f>SUM(Z16:Z21)</f>
        <v>29410.55</v>
      </c>
      <c r="AA22" s="104">
        <f t="shared" ref="AA22:AG22" si="11">SUM(AA16:AA21)</f>
        <v>26750</v>
      </c>
      <c r="AB22" s="104">
        <f t="shared" si="11"/>
        <v>24693.77</v>
      </c>
      <c r="AC22" s="104">
        <f t="shared" si="11"/>
        <v>26750</v>
      </c>
      <c r="AD22" s="104">
        <f t="shared" si="11"/>
        <v>73500.5</v>
      </c>
      <c r="AE22" s="104">
        <f t="shared" si="11"/>
        <v>26750</v>
      </c>
      <c r="AF22" s="104">
        <f t="shared" si="11"/>
        <v>127604.82</v>
      </c>
      <c r="AG22" s="104">
        <f t="shared" si="11"/>
        <v>80250</v>
      </c>
      <c r="AH22" s="104">
        <f>SUM(AH16:AH21)</f>
        <v>24106.400000000001</v>
      </c>
      <c r="AI22" s="104">
        <f t="shared" ref="AI22:AO22" si="12">SUM(AI16:AI21)</f>
        <v>26750</v>
      </c>
      <c r="AJ22" s="104">
        <f t="shared" si="12"/>
        <v>34512.290000000008</v>
      </c>
      <c r="AK22" s="104">
        <f t="shared" si="12"/>
        <v>26750</v>
      </c>
      <c r="AL22" s="104">
        <f t="shared" si="12"/>
        <v>24693.000000000029</v>
      </c>
      <c r="AM22" s="104">
        <f t="shared" si="12"/>
        <v>26750</v>
      </c>
      <c r="AN22" s="104">
        <f t="shared" si="12"/>
        <v>83311.690000000031</v>
      </c>
      <c r="AO22" s="104">
        <f t="shared" si="12"/>
        <v>80250</v>
      </c>
    </row>
    <row r="23" spans="1:42" s="100" customFormat="1" ht="18" x14ac:dyDescent="0.35">
      <c r="A23" s="87"/>
      <c r="B23" s="122"/>
      <c r="C23" s="87"/>
      <c r="D23" s="87"/>
      <c r="E23" s="87"/>
      <c r="F23" s="87"/>
      <c r="G23" s="89"/>
      <c r="H23" s="87"/>
      <c r="I23" s="87"/>
    </row>
    <row r="24" spans="1:42" x14ac:dyDescent="0.3">
      <c r="E24" s="59"/>
    </row>
    <row r="27" spans="1:42" x14ac:dyDescent="0.3">
      <c r="D27" s="59"/>
    </row>
  </sheetData>
  <mergeCells count="40">
    <mergeCell ref="AB14:AC14"/>
    <mergeCell ref="AF14:AG14"/>
    <mergeCell ref="AH13:AO13"/>
    <mergeCell ref="AH14:AI14"/>
    <mergeCell ref="AJ14:AK14"/>
    <mergeCell ref="AL14:AM14"/>
    <mergeCell ref="AN14:AO14"/>
    <mergeCell ref="AP16:AP17"/>
    <mergeCell ref="AD14:AE14"/>
    <mergeCell ref="I13:I15"/>
    <mergeCell ref="J13:Q13"/>
    <mergeCell ref="AP13:AP15"/>
    <mergeCell ref="J14:K14"/>
    <mergeCell ref="L14:M14"/>
    <mergeCell ref="N14:O14"/>
    <mergeCell ref="P14:Q14"/>
    <mergeCell ref="R13:Y13"/>
    <mergeCell ref="R14:S14"/>
    <mergeCell ref="T14:U14"/>
    <mergeCell ref="V14:W14"/>
    <mergeCell ref="X14:Y14"/>
    <mergeCell ref="Z13:AG13"/>
    <mergeCell ref="Z14:AA14"/>
    <mergeCell ref="A6:I6"/>
    <mergeCell ref="A10:I10"/>
    <mergeCell ref="A1:I1"/>
    <mergeCell ref="B2:I2"/>
    <mergeCell ref="B3:I3"/>
    <mergeCell ref="B5:I5"/>
    <mergeCell ref="A8:G8"/>
    <mergeCell ref="B9:G9"/>
    <mergeCell ref="A13:A15"/>
    <mergeCell ref="B13:B15"/>
    <mergeCell ref="C13:C15"/>
    <mergeCell ref="D13:G13"/>
    <mergeCell ref="H13:H15"/>
    <mergeCell ref="D14:D15"/>
    <mergeCell ref="E14:E15"/>
    <mergeCell ref="F14:F15"/>
    <mergeCell ref="G14:G15"/>
  </mergeCells>
  <pageMargins left="0.11811023622047245" right="0.11811023622047245" top="0.74803149606299213" bottom="0.15748031496062992" header="0.31496062992125984" footer="0.31496062992125984"/>
  <pageSetup scale="65" orientation="landscape" r:id="rId1"/>
  <rowBreaks count="1" manualBreakCount="1">
    <brk id="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P33"/>
  <sheetViews>
    <sheetView topLeftCell="A7" zoomScale="70" zoomScaleNormal="70" workbookViewId="0">
      <selection activeCell="M6" sqref="M6"/>
    </sheetView>
  </sheetViews>
  <sheetFormatPr defaultColWidth="8.875" defaultRowHeight="15" x14ac:dyDescent="0.3"/>
  <cols>
    <col min="1" max="1" width="4.875" style="32" customWidth="1"/>
    <col min="2" max="2" width="65.5" style="31" customWidth="1"/>
    <col min="3" max="6" width="11.25" style="32" customWidth="1"/>
    <col min="7" max="7" width="12.125" style="32" customWidth="1"/>
    <col min="8" max="8" width="48.375" style="31" customWidth="1"/>
    <col min="9" max="9" width="24.25" style="31" customWidth="1"/>
    <col min="10" max="15" width="15" style="31" customWidth="1"/>
    <col min="16" max="41" width="15" style="35" customWidth="1"/>
    <col min="42" max="42" width="51.5" style="31" customWidth="1"/>
    <col min="43" max="16384" width="8.875" style="31"/>
  </cols>
  <sheetData>
    <row r="1" spans="1:42" ht="36" customHeight="1" x14ac:dyDescent="0.3">
      <c r="A1" s="340" t="s">
        <v>61</v>
      </c>
      <c r="B1" s="340"/>
      <c r="C1" s="340"/>
      <c r="D1" s="340"/>
      <c r="E1" s="340"/>
      <c r="F1" s="340"/>
      <c r="G1" s="340"/>
      <c r="H1" s="340"/>
      <c r="I1" s="340"/>
    </row>
    <row r="2" spans="1:42" ht="51.75" customHeight="1" x14ac:dyDescent="0.3">
      <c r="A2" s="20"/>
      <c r="B2" s="341" t="s">
        <v>0</v>
      </c>
      <c r="C2" s="341"/>
      <c r="D2" s="341"/>
      <c r="E2" s="341"/>
      <c r="F2" s="341"/>
      <c r="G2" s="341"/>
      <c r="H2" s="341"/>
      <c r="I2" s="341"/>
    </row>
    <row r="3" spans="1:42" ht="55.5" customHeight="1" x14ac:dyDescent="0.3">
      <c r="A3" s="20"/>
      <c r="B3" s="342" t="s">
        <v>9</v>
      </c>
      <c r="C3" s="342"/>
      <c r="D3" s="342"/>
      <c r="E3" s="342"/>
      <c r="F3" s="342"/>
      <c r="G3" s="342"/>
      <c r="H3" s="342"/>
      <c r="I3" s="342"/>
    </row>
    <row r="4" spans="1:42" ht="9" customHeight="1" x14ac:dyDescent="0.3">
      <c r="A4" s="20"/>
      <c r="B4" s="21"/>
      <c r="C4" s="20"/>
      <c r="D4" s="20"/>
      <c r="E4" s="20"/>
      <c r="F4" s="20"/>
      <c r="G4" s="20"/>
      <c r="H4" s="21"/>
      <c r="I4" s="21"/>
    </row>
    <row r="5" spans="1:42" ht="127.5" customHeight="1" x14ac:dyDescent="0.3">
      <c r="A5" s="27"/>
      <c r="B5" s="341" t="s">
        <v>461</v>
      </c>
      <c r="C5" s="341"/>
      <c r="D5" s="341"/>
      <c r="E5" s="341"/>
      <c r="F5" s="341"/>
      <c r="G5" s="341"/>
      <c r="H5" s="341"/>
      <c r="I5" s="341"/>
    </row>
    <row r="6" spans="1:42" ht="140.25" customHeight="1" x14ac:dyDescent="0.3">
      <c r="A6" s="341" t="s">
        <v>462</v>
      </c>
      <c r="B6" s="341"/>
      <c r="C6" s="341"/>
      <c r="D6" s="341"/>
      <c r="E6" s="341"/>
      <c r="F6" s="341"/>
      <c r="G6" s="341"/>
      <c r="H6" s="341"/>
      <c r="I6" s="341"/>
    </row>
    <row r="7" spans="1:42" ht="18" customHeight="1" x14ac:dyDescent="0.3">
      <c r="A7" s="25"/>
      <c r="B7" s="25"/>
      <c r="C7" s="25"/>
      <c r="D7" s="25"/>
      <c r="E7" s="25"/>
      <c r="F7" s="25"/>
      <c r="G7" s="25"/>
      <c r="H7" s="25"/>
      <c r="I7" s="25"/>
    </row>
    <row r="8" spans="1:42" ht="41.25" customHeight="1" x14ac:dyDescent="0.3">
      <c r="A8" s="339" t="s">
        <v>35</v>
      </c>
      <c r="B8" s="339"/>
      <c r="C8" s="339"/>
      <c r="D8" s="339"/>
      <c r="E8" s="339"/>
      <c r="F8" s="339"/>
      <c r="G8" s="339"/>
      <c r="H8" s="15" t="s">
        <v>59</v>
      </c>
      <c r="I8" s="25"/>
    </row>
    <row r="9" spans="1:42" ht="28.5" customHeight="1" x14ac:dyDescent="0.3">
      <c r="A9" s="24"/>
      <c r="B9" s="339" t="s">
        <v>36</v>
      </c>
      <c r="C9" s="339"/>
      <c r="D9" s="339"/>
      <c r="E9" s="339"/>
      <c r="F9" s="339"/>
      <c r="G9" s="339"/>
      <c r="H9" s="24" t="s">
        <v>67</v>
      </c>
      <c r="I9" s="25"/>
    </row>
    <row r="10" spans="1:42" ht="28.5" customHeight="1" x14ac:dyDescent="0.3">
      <c r="A10" s="339" t="s">
        <v>6</v>
      </c>
      <c r="B10" s="339"/>
      <c r="C10" s="339"/>
      <c r="D10" s="339"/>
      <c r="E10" s="339"/>
      <c r="F10" s="339"/>
      <c r="G10" s="339"/>
      <c r="H10" s="339"/>
      <c r="I10" s="339"/>
    </row>
    <row r="11" spans="1:42" ht="7.5" customHeight="1" x14ac:dyDescent="0.3">
      <c r="A11" s="60"/>
      <c r="B11" s="60"/>
      <c r="C11" s="60"/>
      <c r="D11" s="64"/>
      <c r="E11" s="60"/>
      <c r="F11" s="60"/>
      <c r="G11" s="60"/>
      <c r="H11" s="60"/>
      <c r="I11" s="60"/>
    </row>
    <row r="13" spans="1:42" s="88" customFormat="1" ht="40.5" customHeight="1" x14ac:dyDescent="0.25">
      <c r="A13" s="321" t="s">
        <v>1</v>
      </c>
      <c r="B13" s="324" t="s">
        <v>44</v>
      </c>
      <c r="C13" s="324" t="s">
        <v>2</v>
      </c>
      <c r="D13" s="324" t="s">
        <v>43</v>
      </c>
      <c r="E13" s="324"/>
      <c r="F13" s="324"/>
      <c r="G13" s="324"/>
      <c r="H13" s="324" t="s">
        <v>16</v>
      </c>
      <c r="I13" s="330" t="s">
        <v>3</v>
      </c>
      <c r="J13" s="320" t="s">
        <v>301</v>
      </c>
      <c r="K13" s="320"/>
      <c r="L13" s="320"/>
      <c r="M13" s="320"/>
      <c r="N13" s="320"/>
      <c r="O13" s="320"/>
      <c r="P13" s="320"/>
      <c r="Q13" s="320"/>
      <c r="R13" s="326" t="s">
        <v>300</v>
      </c>
      <c r="S13" s="327"/>
      <c r="T13" s="327"/>
      <c r="U13" s="327"/>
      <c r="V13" s="327"/>
      <c r="W13" s="327"/>
      <c r="X13" s="327"/>
      <c r="Y13" s="328"/>
      <c r="Z13" s="326" t="s">
        <v>366</v>
      </c>
      <c r="AA13" s="327"/>
      <c r="AB13" s="327"/>
      <c r="AC13" s="327"/>
      <c r="AD13" s="327"/>
      <c r="AE13" s="327"/>
      <c r="AF13" s="327"/>
      <c r="AG13" s="328"/>
      <c r="AH13" s="326" t="s">
        <v>414</v>
      </c>
      <c r="AI13" s="327"/>
      <c r="AJ13" s="327"/>
      <c r="AK13" s="327"/>
      <c r="AL13" s="327"/>
      <c r="AM13" s="327"/>
      <c r="AN13" s="327"/>
      <c r="AO13" s="328"/>
      <c r="AP13" s="324" t="s">
        <v>288</v>
      </c>
    </row>
    <row r="14" spans="1:42" s="88" customFormat="1" ht="40.5" customHeight="1" x14ac:dyDescent="0.25">
      <c r="A14" s="322"/>
      <c r="B14" s="324"/>
      <c r="C14" s="324"/>
      <c r="D14" s="321" t="s">
        <v>7</v>
      </c>
      <c r="E14" s="321" t="s">
        <v>12</v>
      </c>
      <c r="F14" s="321" t="s">
        <v>40</v>
      </c>
      <c r="G14" s="321" t="s">
        <v>41</v>
      </c>
      <c r="H14" s="324"/>
      <c r="I14" s="330"/>
      <c r="J14" s="320" t="s">
        <v>285</v>
      </c>
      <c r="K14" s="320"/>
      <c r="L14" s="320" t="s">
        <v>286</v>
      </c>
      <c r="M14" s="320"/>
      <c r="N14" s="320" t="s">
        <v>287</v>
      </c>
      <c r="O14" s="320"/>
      <c r="P14" s="320" t="s">
        <v>13</v>
      </c>
      <c r="Q14" s="320"/>
      <c r="R14" s="326" t="s">
        <v>297</v>
      </c>
      <c r="S14" s="328"/>
      <c r="T14" s="326" t="s">
        <v>298</v>
      </c>
      <c r="U14" s="328"/>
      <c r="V14" s="326" t="s">
        <v>299</v>
      </c>
      <c r="W14" s="328"/>
      <c r="X14" s="326" t="s">
        <v>13</v>
      </c>
      <c r="Y14" s="328"/>
      <c r="Z14" s="326" t="s">
        <v>363</v>
      </c>
      <c r="AA14" s="328"/>
      <c r="AB14" s="326" t="s">
        <v>364</v>
      </c>
      <c r="AC14" s="328"/>
      <c r="AD14" s="326" t="s">
        <v>365</v>
      </c>
      <c r="AE14" s="328"/>
      <c r="AF14" s="326" t="s">
        <v>13</v>
      </c>
      <c r="AG14" s="328"/>
      <c r="AH14" s="326" t="s">
        <v>415</v>
      </c>
      <c r="AI14" s="328"/>
      <c r="AJ14" s="326" t="s">
        <v>416</v>
      </c>
      <c r="AK14" s="328"/>
      <c r="AL14" s="326" t="s">
        <v>417</v>
      </c>
      <c r="AM14" s="328"/>
      <c r="AN14" s="326" t="s">
        <v>13</v>
      </c>
      <c r="AO14" s="328"/>
      <c r="AP14" s="324"/>
    </row>
    <row r="15" spans="1:42" s="88" customFormat="1" ht="84.75" customHeight="1" x14ac:dyDescent="0.25">
      <c r="A15" s="323"/>
      <c r="B15" s="324"/>
      <c r="C15" s="324"/>
      <c r="D15" s="323"/>
      <c r="E15" s="323"/>
      <c r="F15" s="323"/>
      <c r="G15" s="323"/>
      <c r="H15" s="324"/>
      <c r="I15" s="330"/>
      <c r="J15" s="94" t="s">
        <v>7</v>
      </c>
      <c r="K15" s="94" t="s">
        <v>12</v>
      </c>
      <c r="L15" s="94" t="s">
        <v>7</v>
      </c>
      <c r="M15" s="94" t="s">
        <v>12</v>
      </c>
      <c r="N15" s="94" t="s">
        <v>7</v>
      </c>
      <c r="O15" s="94" t="s">
        <v>12</v>
      </c>
      <c r="P15" s="94" t="s">
        <v>7</v>
      </c>
      <c r="Q15" s="94" t="s">
        <v>12</v>
      </c>
      <c r="R15" s="94" t="s">
        <v>7</v>
      </c>
      <c r="S15" s="94" t="s">
        <v>12</v>
      </c>
      <c r="T15" s="94" t="s">
        <v>7</v>
      </c>
      <c r="U15" s="94" t="s">
        <v>12</v>
      </c>
      <c r="V15" s="94" t="s">
        <v>7</v>
      </c>
      <c r="W15" s="94" t="s">
        <v>12</v>
      </c>
      <c r="X15" s="94" t="s">
        <v>7</v>
      </c>
      <c r="Y15" s="94" t="s">
        <v>12</v>
      </c>
      <c r="Z15" s="94" t="s">
        <v>7</v>
      </c>
      <c r="AA15" s="94" t="s">
        <v>12</v>
      </c>
      <c r="AB15" s="94" t="s">
        <v>7</v>
      </c>
      <c r="AC15" s="94" t="s">
        <v>12</v>
      </c>
      <c r="AD15" s="94" t="s">
        <v>7</v>
      </c>
      <c r="AE15" s="94" t="s">
        <v>12</v>
      </c>
      <c r="AF15" s="94" t="s">
        <v>7</v>
      </c>
      <c r="AG15" s="94" t="s">
        <v>12</v>
      </c>
      <c r="AH15" s="94" t="s">
        <v>7</v>
      </c>
      <c r="AI15" s="94" t="s">
        <v>12</v>
      </c>
      <c r="AJ15" s="94" t="s">
        <v>7</v>
      </c>
      <c r="AK15" s="94" t="s">
        <v>12</v>
      </c>
      <c r="AL15" s="94" t="s">
        <v>7</v>
      </c>
      <c r="AM15" s="94" t="s">
        <v>12</v>
      </c>
      <c r="AN15" s="94" t="s">
        <v>7</v>
      </c>
      <c r="AO15" s="94" t="s">
        <v>12</v>
      </c>
      <c r="AP15" s="324"/>
    </row>
    <row r="16" spans="1:42" s="100" customFormat="1" ht="81.75" customHeight="1" x14ac:dyDescent="0.35">
      <c r="A16" s="96">
        <v>1</v>
      </c>
      <c r="B16" s="96" t="s">
        <v>4</v>
      </c>
      <c r="C16" s="97">
        <f>D16+E16+F16+G16</f>
        <v>615920</v>
      </c>
      <c r="D16" s="101">
        <f>190440+58380</f>
        <v>248820</v>
      </c>
      <c r="E16" s="97">
        <v>367100</v>
      </c>
      <c r="F16" s="97"/>
      <c r="G16" s="97"/>
      <c r="H16" s="86" t="s">
        <v>45</v>
      </c>
      <c r="I16" s="102" t="s">
        <v>46</v>
      </c>
      <c r="J16" s="83">
        <v>20620</v>
      </c>
      <c r="K16" s="103">
        <v>30590</v>
      </c>
      <c r="L16" s="83">
        <v>20620</v>
      </c>
      <c r="M16" s="103">
        <v>30590</v>
      </c>
      <c r="N16" s="83">
        <v>20620</v>
      </c>
      <c r="O16" s="103">
        <v>30590</v>
      </c>
      <c r="P16" s="99">
        <f>J16+L16+N16</f>
        <v>61860</v>
      </c>
      <c r="Q16" s="99">
        <f>K16+M16+O16</f>
        <v>91770</v>
      </c>
      <c r="R16" s="84">
        <v>20620</v>
      </c>
      <c r="S16" s="103">
        <v>30590</v>
      </c>
      <c r="T16" s="84">
        <v>20620</v>
      </c>
      <c r="U16" s="103">
        <v>30590</v>
      </c>
      <c r="V16" s="84">
        <v>20620</v>
      </c>
      <c r="W16" s="103">
        <v>30590</v>
      </c>
      <c r="X16" s="99">
        <f>R16+T16+V16</f>
        <v>61860</v>
      </c>
      <c r="Y16" s="99">
        <f>S16+U16+W16</f>
        <v>91770</v>
      </c>
      <c r="Z16" s="84">
        <v>20620</v>
      </c>
      <c r="AA16" s="103">
        <v>30590</v>
      </c>
      <c r="AB16" s="84">
        <v>20694.290000000008</v>
      </c>
      <c r="AC16" s="103">
        <v>30590</v>
      </c>
      <c r="AD16" s="84">
        <v>20932.070000000007</v>
      </c>
      <c r="AE16" s="103">
        <v>30590</v>
      </c>
      <c r="AF16" s="99">
        <f>Z16+AB16+AD16</f>
        <v>62246.360000000015</v>
      </c>
      <c r="AG16" s="99">
        <f>AA16+AC16+AE16</f>
        <v>91770</v>
      </c>
      <c r="AH16" s="85">
        <v>20233.639999999985</v>
      </c>
      <c r="AI16" s="99">
        <v>30590</v>
      </c>
      <c r="AJ16" s="84">
        <v>20620</v>
      </c>
      <c r="AK16" s="99">
        <v>30590</v>
      </c>
      <c r="AL16" s="84">
        <v>19988.570000000007</v>
      </c>
      <c r="AM16" s="99">
        <v>30590</v>
      </c>
      <c r="AN16" s="99">
        <f>AH16+AJ16+AL16</f>
        <v>60842.209999999992</v>
      </c>
      <c r="AO16" s="99">
        <f>AI16+AK16+AM16</f>
        <v>91770</v>
      </c>
      <c r="AP16" s="86" t="s">
        <v>294</v>
      </c>
    </row>
    <row r="17" spans="1:42" s="100" customFormat="1" ht="81.75" customHeight="1" x14ac:dyDescent="0.35">
      <c r="A17" s="96">
        <v>2</v>
      </c>
      <c r="B17" s="96" t="s">
        <v>14</v>
      </c>
      <c r="C17" s="97">
        <f t="shared" ref="C17:C20" si="0">D17+E17+F17+G17</f>
        <v>3400</v>
      </c>
      <c r="D17" s="101">
        <f>2000+2000+400+2000+2000-5000</f>
        <v>3400</v>
      </c>
      <c r="E17" s="97"/>
      <c r="F17" s="97"/>
      <c r="G17" s="97"/>
      <c r="H17" s="86" t="s">
        <v>79</v>
      </c>
      <c r="I17" s="102" t="s">
        <v>46</v>
      </c>
      <c r="J17" s="120"/>
      <c r="K17" s="98"/>
      <c r="L17" s="98"/>
      <c r="M17" s="98"/>
      <c r="N17" s="98"/>
      <c r="O17" s="98"/>
      <c r="P17" s="99">
        <f t="shared" ref="P17:P20" si="1">J17+L17+N17</f>
        <v>0</v>
      </c>
      <c r="Q17" s="99">
        <f t="shared" ref="Q17:Q20" si="2">K17+M17+O17</f>
        <v>0</v>
      </c>
      <c r="R17" s="99"/>
      <c r="S17" s="99"/>
      <c r="T17" s="99"/>
      <c r="U17" s="99"/>
      <c r="V17" s="84">
        <v>590</v>
      </c>
      <c r="W17" s="99"/>
      <c r="X17" s="99">
        <f t="shared" ref="X17:X20" si="3">R17+T17+V17</f>
        <v>590</v>
      </c>
      <c r="Y17" s="99">
        <f t="shared" ref="Y17:Y20" si="4">S17+U17+W17</f>
        <v>0</v>
      </c>
      <c r="Z17" s="84">
        <v>270</v>
      </c>
      <c r="AA17" s="99"/>
      <c r="AB17" s="99"/>
      <c r="AC17" s="99"/>
      <c r="AD17" s="99"/>
      <c r="AE17" s="99"/>
      <c r="AF17" s="99">
        <f t="shared" ref="AF17:AF20" si="5">Z17+AB17+AD17</f>
        <v>270</v>
      </c>
      <c r="AG17" s="99">
        <f t="shared" ref="AG17:AG20" si="6">AA17+AC17+AE17</f>
        <v>0</v>
      </c>
      <c r="AH17" s="85">
        <v>0</v>
      </c>
      <c r="AI17" s="99"/>
      <c r="AJ17" s="84">
        <v>0</v>
      </c>
      <c r="AK17" s="99"/>
      <c r="AL17" s="84">
        <v>0</v>
      </c>
      <c r="AM17" s="99"/>
      <c r="AN17" s="99">
        <f t="shared" ref="AN17:AN20" si="7">AH17+AJ17+AL17</f>
        <v>0</v>
      </c>
      <c r="AO17" s="99">
        <f t="shared" ref="AO17:AO20" si="8">AI17+AK17+AM17</f>
        <v>0</v>
      </c>
      <c r="AP17" s="86" t="s">
        <v>293</v>
      </c>
    </row>
    <row r="18" spans="1:42" s="100" customFormat="1" ht="114.75" customHeight="1" x14ac:dyDescent="0.35">
      <c r="A18" s="96">
        <v>3</v>
      </c>
      <c r="B18" s="86" t="s">
        <v>48</v>
      </c>
      <c r="C18" s="97">
        <f t="shared" si="0"/>
        <v>5000</v>
      </c>
      <c r="D18" s="101">
        <v>5000</v>
      </c>
      <c r="E18" s="97"/>
      <c r="F18" s="97"/>
      <c r="G18" s="97"/>
      <c r="H18" s="86" t="s">
        <v>268</v>
      </c>
      <c r="I18" s="102" t="s">
        <v>24</v>
      </c>
      <c r="J18" s="86"/>
      <c r="K18" s="98"/>
      <c r="L18" s="98"/>
      <c r="M18" s="98"/>
      <c r="N18" s="98"/>
      <c r="O18" s="98"/>
      <c r="P18" s="99">
        <f t="shared" si="1"/>
        <v>0</v>
      </c>
      <c r="Q18" s="99">
        <f t="shared" si="2"/>
        <v>0</v>
      </c>
      <c r="R18" s="99"/>
      <c r="S18" s="99"/>
      <c r="T18" s="99"/>
      <c r="U18" s="99"/>
      <c r="V18" s="99"/>
      <c r="W18" s="99"/>
      <c r="X18" s="99">
        <f t="shared" si="3"/>
        <v>0</v>
      </c>
      <c r="Y18" s="99">
        <f t="shared" si="4"/>
        <v>0</v>
      </c>
      <c r="Z18" s="99"/>
      <c r="AA18" s="99"/>
      <c r="AB18" s="99"/>
      <c r="AC18" s="99"/>
      <c r="AD18" s="99"/>
      <c r="AE18" s="99"/>
      <c r="AF18" s="99">
        <f t="shared" si="5"/>
        <v>0</v>
      </c>
      <c r="AG18" s="99">
        <f t="shared" si="6"/>
        <v>0</v>
      </c>
      <c r="AH18" s="85">
        <v>816.46</v>
      </c>
      <c r="AI18" s="99"/>
      <c r="AJ18" s="84">
        <v>0</v>
      </c>
      <c r="AK18" s="99"/>
      <c r="AL18" s="84">
        <v>0</v>
      </c>
      <c r="AM18" s="99"/>
      <c r="AN18" s="99">
        <f t="shared" si="7"/>
        <v>816.46</v>
      </c>
      <c r="AO18" s="99">
        <f t="shared" si="8"/>
        <v>0</v>
      </c>
      <c r="AP18" s="86" t="s">
        <v>292</v>
      </c>
    </row>
    <row r="19" spans="1:42" s="100" customFormat="1" ht="254.25" customHeight="1" x14ac:dyDescent="0.35">
      <c r="A19" s="96">
        <v>4</v>
      </c>
      <c r="B19" s="86" t="s">
        <v>463</v>
      </c>
      <c r="C19" s="97">
        <f t="shared" si="0"/>
        <v>62086</v>
      </c>
      <c r="D19" s="101">
        <f>54086+8000</f>
        <v>62086</v>
      </c>
      <c r="E19" s="101"/>
      <c r="F19" s="101"/>
      <c r="G19" s="97"/>
      <c r="H19" s="86" t="s">
        <v>57</v>
      </c>
      <c r="I19" s="102" t="s">
        <v>100</v>
      </c>
      <c r="J19" s="98"/>
      <c r="K19" s="98"/>
      <c r="L19" s="96">
        <f>460</f>
        <v>460</v>
      </c>
      <c r="M19" s="96"/>
      <c r="N19" s="96">
        <f>1800</f>
        <v>1800</v>
      </c>
      <c r="O19" s="98"/>
      <c r="P19" s="99">
        <f t="shared" si="1"/>
        <v>2260</v>
      </c>
      <c r="Q19" s="99">
        <f t="shared" si="2"/>
        <v>0</v>
      </c>
      <c r="R19" s="99"/>
      <c r="S19" s="99"/>
      <c r="T19" s="99">
        <f>641.5</f>
        <v>641.5</v>
      </c>
      <c r="U19" s="99"/>
      <c r="V19" s="99">
        <v>6920</v>
      </c>
      <c r="W19" s="99"/>
      <c r="X19" s="99">
        <f t="shared" si="3"/>
        <v>7561.5</v>
      </c>
      <c r="Y19" s="99">
        <f t="shared" si="4"/>
        <v>0</v>
      </c>
      <c r="Z19" s="99">
        <v>2775.45</v>
      </c>
      <c r="AA19" s="99"/>
      <c r="AB19" s="99"/>
      <c r="AC19" s="99"/>
      <c r="AD19" s="99">
        <v>4195.3999999999996</v>
      </c>
      <c r="AE19" s="99"/>
      <c r="AF19" s="99">
        <f t="shared" si="5"/>
        <v>6970.8499999999995</v>
      </c>
      <c r="AG19" s="99">
        <f t="shared" si="6"/>
        <v>0</v>
      </c>
      <c r="AH19" s="99"/>
      <c r="AI19" s="99"/>
      <c r="AJ19" s="99">
        <v>8801</v>
      </c>
      <c r="AK19" s="99"/>
      <c r="AL19" s="99">
        <v>17057.400000000001</v>
      </c>
      <c r="AM19" s="99"/>
      <c r="AN19" s="99">
        <f t="shared" si="7"/>
        <v>25858.400000000001</v>
      </c>
      <c r="AO19" s="99">
        <f t="shared" si="8"/>
        <v>0</v>
      </c>
      <c r="AP19" s="86" t="s">
        <v>436</v>
      </c>
    </row>
    <row r="20" spans="1:42" s="100" customFormat="1" ht="79.5" customHeight="1" x14ac:dyDescent="0.35">
      <c r="A20" s="96">
        <v>5</v>
      </c>
      <c r="B20" s="86" t="s">
        <v>109</v>
      </c>
      <c r="C20" s="97">
        <f t="shared" si="0"/>
        <v>69191</v>
      </c>
      <c r="D20" s="101">
        <f>54421+8000+6770</f>
        <v>69191</v>
      </c>
      <c r="E20" s="101"/>
      <c r="F20" s="101"/>
      <c r="G20" s="97"/>
      <c r="H20" s="86" t="s">
        <v>57</v>
      </c>
      <c r="I20" s="102" t="s">
        <v>49</v>
      </c>
      <c r="J20" s="98"/>
      <c r="K20" s="98"/>
      <c r="L20" s="96">
        <f>6770</f>
        <v>6770</v>
      </c>
      <c r="M20" s="98"/>
      <c r="N20" s="98"/>
      <c r="O20" s="98"/>
      <c r="P20" s="99">
        <f t="shared" si="1"/>
        <v>6770</v>
      </c>
      <c r="Q20" s="99">
        <f t="shared" si="2"/>
        <v>0</v>
      </c>
      <c r="R20" s="99"/>
      <c r="S20" s="99"/>
      <c r="T20" s="99">
        <v>6609</v>
      </c>
      <c r="U20" s="99"/>
      <c r="V20" s="99">
        <v>5322.1</v>
      </c>
      <c r="W20" s="99"/>
      <c r="X20" s="99">
        <f t="shared" si="3"/>
        <v>11931.1</v>
      </c>
      <c r="Y20" s="99">
        <f t="shared" si="4"/>
        <v>0</v>
      </c>
      <c r="Z20" s="99"/>
      <c r="AA20" s="99"/>
      <c r="AB20" s="99"/>
      <c r="AC20" s="99"/>
      <c r="AD20" s="99"/>
      <c r="AE20" s="99"/>
      <c r="AF20" s="99">
        <f t="shared" si="5"/>
        <v>0</v>
      </c>
      <c r="AG20" s="99">
        <f t="shared" si="6"/>
        <v>0</v>
      </c>
      <c r="AH20" s="99"/>
      <c r="AI20" s="99"/>
      <c r="AJ20" s="99">
        <v>2405</v>
      </c>
      <c r="AK20" s="99"/>
      <c r="AL20" s="99">
        <v>41492.46</v>
      </c>
      <c r="AM20" s="99"/>
      <c r="AN20" s="99">
        <f t="shared" si="7"/>
        <v>43897.46</v>
      </c>
      <c r="AO20" s="99">
        <f t="shared" si="8"/>
        <v>0</v>
      </c>
      <c r="AP20" s="86" t="s">
        <v>437</v>
      </c>
    </row>
    <row r="21" spans="1:42" s="105" customFormat="1" ht="30.75" customHeight="1" x14ac:dyDescent="0.35">
      <c r="A21" s="90"/>
      <c r="B21" s="90" t="s">
        <v>13</v>
      </c>
      <c r="C21" s="92">
        <f>SUM(C16:C20)</f>
        <v>755597</v>
      </c>
      <c r="D21" s="92">
        <f>SUM(D16:D20)</f>
        <v>388497</v>
      </c>
      <c r="E21" s="92">
        <f>SUM(E16:E20)</f>
        <v>367100</v>
      </c>
      <c r="F21" s="92">
        <f>SUM(F16:F20)</f>
        <v>0</v>
      </c>
      <c r="G21" s="92">
        <f>SUM(G16:G20)</f>
        <v>0</v>
      </c>
      <c r="J21" s="104">
        <f>SUM(J16:J20)</f>
        <v>20620</v>
      </c>
      <c r="K21" s="104">
        <f t="shared" ref="K21:Q21" si="9">SUM(K16:K20)</f>
        <v>30590</v>
      </c>
      <c r="L21" s="104">
        <f t="shared" si="9"/>
        <v>27850</v>
      </c>
      <c r="M21" s="104">
        <f t="shared" si="9"/>
        <v>30590</v>
      </c>
      <c r="N21" s="104">
        <f t="shared" si="9"/>
        <v>22420</v>
      </c>
      <c r="O21" s="104">
        <f t="shared" si="9"/>
        <v>30590</v>
      </c>
      <c r="P21" s="104">
        <f t="shared" si="9"/>
        <v>70890</v>
      </c>
      <c r="Q21" s="104">
        <f t="shared" si="9"/>
        <v>91770</v>
      </c>
      <c r="R21" s="104">
        <f>SUM(R16:R20)</f>
        <v>20620</v>
      </c>
      <c r="S21" s="104">
        <f t="shared" ref="S21:W21" si="10">SUM(S16:S20)</f>
        <v>30590</v>
      </c>
      <c r="T21" s="104">
        <f t="shared" si="10"/>
        <v>27870.5</v>
      </c>
      <c r="U21" s="104">
        <f t="shared" si="10"/>
        <v>30590</v>
      </c>
      <c r="V21" s="104">
        <f t="shared" si="10"/>
        <v>33452.1</v>
      </c>
      <c r="W21" s="104">
        <f t="shared" si="10"/>
        <v>30590</v>
      </c>
      <c r="X21" s="104">
        <f>SUM(X16:X20)</f>
        <v>81942.600000000006</v>
      </c>
      <c r="Y21" s="104">
        <f>SUM(Y16:Y20)</f>
        <v>91770</v>
      </c>
      <c r="Z21" s="104">
        <f>SUM(Z16:Z20)</f>
        <v>23665.45</v>
      </c>
      <c r="AA21" s="104">
        <f t="shared" ref="AA21:AG21" si="11">SUM(AA16:AA20)</f>
        <v>30590</v>
      </c>
      <c r="AB21" s="104">
        <f t="shared" si="11"/>
        <v>20694.290000000008</v>
      </c>
      <c r="AC21" s="104">
        <f t="shared" si="11"/>
        <v>30590</v>
      </c>
      <c r="AD21" s="104">
        <f t="shared" si="11"/>
        <v>25127.470000000008</v>
      </c>
      <c r="AE21" s="104">
        <f t="shared" si="11"/>
        <v>30590</v>
      </c>
      <c r="AF21" s="104">
        <f t="shared" si="11"/>
        <v>69487.210000000021</v>
      </c>
      <c r="AG21" s="104">
        <f t="shared" si="11"/>
        <v>91770</v>
      </c>
      <c r="AH21" s="104">
        <f>SUM(AH16:AH20)</f>
        <v>21050.099999999984</v>
      </c>
      <c r="AI21" s="104">
        <f t="shared" ref="AI21:AO21" si="12">SUM(AI16:AI20)</f>
        <v>30590</v>
      </c>
      <c r="AJ21" s="104">
        <f t="shared" si="12"/>
        <v>31826</v>
      </c>
      <c r="AK21" s="104">
        <f t="shared" si="12"/>
        <v>30590</v>
      </c>
      <c r="AL21" s="104">
        <f t="shared" si="12"/>
        <v>78538.430000000008</v>
      </c>
      <c r="AM21" s="104">
        <f t="shared" si="12"/>
        <v>30590</v>
      </c>
      <c r="AN21" s="104">
        <f t="shared" si="12"/>
        <v>131414.53</v>
      </c>
      <c r="AO21" s="104">
        <f t="shared" si="12"/>
        <v>91770</v>
      </c>
    </row>
    <row r="22" spans="1:42" x14ac:dyDescent="0.3">
      <c r="B22" s="32"/>
      <c r="G22" s="59"/>
    </row>
    <row r="25" spans="1:42" x14ac:dyDescent="0.3">
      <c r="H25" s="65"/>
    </row>
    <row r="30" spans="1:42" x14ac:dyDescent="0.3">
      <c r="D30" s="59"/>
    </row>
    <row r="31" spans="1:42" x14ac:dyDescent="0.3">
      <c r="D31" s="59"/>
    </row>
    <row r="33" spans="4:4" x14ac:dyDescent="0.3">
      <c r="D33" s="59"/>
    </row>
  </sheetData>
  <mergeCells count="39">
    <mergeCell ref="AB14:AC14"/>
    <mergeCell ref="AD14:AE14"/>
    <mergeCell ref="AF14:AG14"/>
    <mergeCell ref="AH13:AO13"/>
    <mergeCell ref="AH14:AI14"/>
    <mergeCell ref="AJ14:AK14"/>
    <mergeCell ref="AL14:AM14"/>
    <mergeCell ref="AN14:AO14"/>
    <mergeCell ref="J13:Q13"/>
    <mergeCell ref="I13:I15"/>
    <mergeCell ref="F14:F15"/>
    <mergeCell ref="G14:G15"/>
    <mergeCell ref="AP13:AP15"/>
    <mergeCell ref="J14:K14"/>
    <mergeCell ref="L14:M14"/>
    <mergeCell ref="N14:O14"/>
    <mergeCell ref="P14:Q14"/>
    <mergeCell ref="R13:Y13"/>
    <mergeCell ref="R14:S14"/>
    <mergeCell ref="T14:U14"/>
    <mergeCell ref="V14:W14"/>
    <mergeCell ref="X14:Y14"/>
    <mergeCell ref="Z13:AG13"/>
    <mergeCell ref="Z14:AA14"/>
    <mergeCell ref="A1:I1"/>
    <mergeCell ref="B2:I2"/>
    <mergeCell ref="B3:I3"/>
    <mergeCell ref="B5:I5"/>
    <mergeCell ref="A13:A15"/>
    <mergeCell ref="A8:G8"/>
    <mergeCell ref="B9:G9"/>
    <mergeCell ref="B13:B15"/>
    <mergeCell ref="C13:C15"/>
    <mergeCell ref="D13:G13"/>
    <mergeCell ref="D14:D15"/>
    <mergeCell ref="E14:E15"/>
    <mergeCell ref="H13:H15"/>
    <mergeCell ref="A6:I6"/>
    <mergeCell ref="A10:I10"/>
  </mergeCells>
  <pageMargins left="0.11811023622047245" right="0.11811023622047245" top="0.74803149606299213" bottom="0.15748031496062992" header="0.31496062992125984" footer="0.31496062992125984"/>
  <pageSetup scale="6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X38"/>
  <sheetViews>
    <sheetView topLeftCell="A20" zoomScale="70" zoomScaleNormal="70" workbookViewId="0">
      <selection activeCell="K5" sqref="K5"/>
    </sheetView>
  </sheetViews>
  <sheetFormatPr defaultRowHeight="15.75" x14ac:dyDescent="0.3"/>
  <cols>
    <col min="1" max="1" width="4.875" style="1" customWidth="1"/>
    <col min="2" max="2" width="66" customWidth="1"/>
    <col min="3" max="6" width="11.25" style="1" customWidth="1"/>
    <col min="7" max="7" width="14" style="1" customWidth="1"/>
    <col min="8" max="8" width="49.25" customWidth="1"/>
    <col min="9" max="9" width="26.375" customWidth="1"/>
    <col min="10" max="10" width="17.875" style="1" customWidth="1"/>
    <col min="11" max="11" width="14.5" customWidth="1"/>
    <col min="12" max="12" width="12.25" customWidth="1"/>
    <col min="13" max="13" width="12.375" customWidth="1"/>
    <col min="14" max="14" width="13.5" customWidth="1"/>
    <col min="15" max="15" width="12.25" customWidth="1"/>
    <col min="16" max="16" width="11.75" style="34" customWidth="1"/>
    <col min="17" max="25" width="14.25" style="34" customWidth="1"/>
    <col min="26" max="34" width="14.25" style="57" customWidth="1"/>
    <col min="35" max="49" width="14.25" style="34" customWidth="1"/>
    <col min="50" max="50" width="45.5" customWidth="1"/>
  </cols>
  <sheetData>
    <row r="1" spans="1:50" ht="52.5" customHeight="1" x14ac:dyDescent="0.3">
      <c r="A1" s="331" t="s">
        <v>61</v>
      </c>
      <c r="B1" s="331"/>
      <c r="C1" s="331"/>
      <c r="D1" s="331"/>
      <c r="E1" s="331"/>
      <c r="F1" s="331"/>
      <c r="G1" s="331"/>
      <c r="H1" s="331"/>
      <c r="I1" s="331"/>
    </row>
    <row r="2" spans="1:50" ht="62.25" customHeight="1" x14ac:dyDescent="0.3">
      <c r="A2" s="108"/>
      <c r="B2" s="332" t="s">
        <v>0</v>
      </c>
      <c r="C2" s="332"/>
      <c r="D2" s="332"/>
      <c r="E2" s="332"/>
      <c r="F2" s="332"/>
      <c r="G2" s="332"/>
      <c r="H2" s="332"/>
      <c r="I2" s="332"/>
    </row>
    <row r="3" spans="1:50" ht="55.5" customHeight="1" x14ac:dyDescent="0.3">
      <c r="A3" s="108"/>
      <c r="B3" s="333" t="s">
        <v>15</v>
      </c>
      <c r="C3" s="333"/>
      <c r="D3" s="333"/>
      <c r="E3" s="333"/>
      <c r="F3" s="333"/>
      <c r="G3" s="333"/>
      <c r="H3" s="333"/>
      <c r="I3" s="333"/>
    </row>
    <row r="4" spans="1:50" ht="9" customHeight="1" x14ac:dyDescent="0.3">
      <c r="A4" s="108"/>
      <c r="B4" s="9"/>
      <c r="C4" s="108"/>
      <c r="D4" s="108"/>
      <c r="E4" s="108"/>
      <c r="F4" s="108"/>
      <c r="G4" s="108"/>
      <c r="H4" s="9"/>
      <c r="I4" s="9"/>
    </row>
    <row r="5" spans="1:50" ht="145.15" customHeight="1" x14ac:dyDescent="0.3">
      <c r="A5" s="10"/>
      <c r="B5" s="332" t="s">
        <v>65</v>
      </c>
      <c r="C5" s="332"/>
      <c r="D5" s="332"/>
      <c r="E5" s="332"/>
      <c r="F5" s="332"/>
      <c r="G5" s="332"/>
      <c r="H5" s="332"/>
      <c r="I5" s="332"/>
    </row>
    <row r="6" spans="1:50" ht="169.9" customHeight="1" x14ac:dyDescent="0.3">
      <c r="A6" s="332" t="s">
        <v>99</v>
      </c>
      <c r="B6" s="332"/>
      <c r="C6" s="332"/>
      <c r="D6" s="332"/>
      <c r="E6" s="332"/>
      <c r="F6" s="332"/>
      <c r="G6" s="332"/>
      <c r="H6" s="332"/>
      <c r="I6" s="332"/>
    </row>
    <row r="7" spans="1:50" ht="45" customHeight="1" x14ac:dyDescent="0.3">
      <c r="A7" s="329" t="s">
        <v>35</v>
      </c>
      <c r="B7" s="329"/>
      <c r="C7" s="329"/>
      <c r="D7" s="329"/>
      <c r="E7" s="329"/>
      <c r="F7" s="329"/>
      <c r="G7" s="329"/>
      <c r="H7" s="7" t="s">
        <v>55</v>
      </c>
      <c r="I7" s="6"/>
    </row>
    <row r="8" spans="1:50" ht="44.25" customHeight="1" x14ac:dyDescent="0.3">
      <c r="A8" s="8"/>
      <c r="B8" s="329" t="s">
        <v>36</v>
      </c>
      <c r="C8" s="329"/>
      <c r="D8" s="329"/>
      <c r="E8" s="329"/>
      <c r="F8" s="329"/>
      <c r="G8" s="329"/>
      <c r="H8" s="8" t="s">
        <v>67</v>
      </c>
      <c r="I8" s="6"/>
    </row>
    <row r="9" spans="1:50" ht="10.5" customHeight="1" x14ac:dyDescent="0.3">
      <c r="A9" s="352"/>
      <c r="B9" s="352"/>
      <c r="C9" s="352"/>
      <c r="D9" s="352"/>
      <c r="E9" s="352"/>
      <c r="F9" s="352"/>
      <c r="G9" s="352"/>
      <c r="H9" s="352"/>
      <c r="I9" s="9"/>
    </row>
    <row r="10" spans="1:50" ht="28.5" hidden="1" customHeight="1" x14ac:dyDescent="0.3">
      <c r="A10" s="364" t="s">
        <v>6</v>
      </c>
      <c r="B10" s="364"/>
      <c r="C10" s="364"/>
      <c r="D10" s="364"/>
      <c r="E10" s="364"/>
      <c r="F10" s="364"/>
      <c r="G10" s="364"/>
      <c r="H10" s="364"/>
      <c r="I10" s="364"/>
    </row>
    <row r="11" spans="1:50" ht="17.25" x14ac:dyDescent="0.3">
      <c r="A11" s="11"/>
      <c r="B11" s="329" t="s">
        <v>6</v>
      </c>
      <c r="C11" s="329"/>
      <c r="D11" s="329"/>
      <c r="E11" s="329"/>
      <c r="F11" s="329"/>
      <c r="G11" s="329"/>
      <c r="H11" s="329"/>
      <c r="I11" s="329"/>
    </row>
    <row r="12" spans="1:50" ht="17.25" x14ac:dyDescent="0.3">
      <c r="A12" s="108"/>
      <c r="B12" s="9"/>
      <c r="C12" s="108"/>
      <c r="D12" s="108"/>
      <c r="E12" s="108"/>
      <c r="F12" s="108"/>
      <c r="G12" s="108"/>
      <c r="H12" s="9"/>
      <c r="I12" s="9"/>
    </row>
    <row r="13" spans="1:50" s="111" customFormat="1" ht="38.25" customHeight="1" x14ac:dyDescent="0.25">
      <c r="A13" s="320" t="s">
        <v>1</v>
      </c>
      <c r="B13" s="320" t="s">
        <v>44</v>
      </c>
      <c r="C13" s="320" t="s">
        <v>2</v>
      </c>
      <c r="D13" s="320" t="s">
        <v>43</v>
      </c>
      <c r="E13" s="320"/>
      <c r="F13" s="320"/>
      <c r="G13" s="320"/>
      <c r="H13" s="320" t="s">
        <v>16</v>
      </c>
      <c r="I13" s="320" t="s">
        <v>3</v>
      </c>
      <c r="J13" s="320" t="s">
        <v>301</v>
      </c>
      <c r="K13" s="320"/>
      <c r="L13" s="320"/>
      <c r="M13" s="320"/>
      <c r="N13" s="320"/>
      <c r="O13" s="320"/>
      <c r="P13" s="320"/>
      <c r="Q13" s="320"/>
      <c r="R13" s="326" t="s">
        <v>300</v>
      </c>
      <c r="S13" s="327"/>
      <c r="T13" s="327"/>
      <c r="U13" s="327"/>
      <c r="V13" s="327"/>
      <c r="W13" s="327"/>
      <c r="X13" s="327"/>
      <c r="Y13" s="328"/>
      <c r="Z13" s="326" t="s">
        <v>366</v>
      </c>
      <c r="AA13" s="327"/>
      <c r="AB13" s="327"/>
      <c r="AC13" s="327"/>
      <c r="AD13" s="327"/>
      <c r="AE13" s="327"/>
      <c r="AF13" s="327"/>
      <c r="AG13" s="327"/>
      <c r="AH13" s="327"/>
      <c r="AI13" s="327"/>
      <c r="AJ13" s="327"/>
      <c r="AK13" s="328"/>
      <c r="AL13" s="326" t="s">
        <v>414</v>
      </c>
      <c r="AM13" s="327"/>
      <c r="AN13" s="327"/>
      <c r="AO13" s="327"/>
      <c r="AP13" s="327"/>
      <c r="AQ13" s="327"/>
      <c r="AR13" s="327"/>
      <c r="AS13" s="327"/>
      <c r="AT13" s="327"/>
      <c r="AU13" s="327"/>
      <c r="AV13" s="327"/>
      <c r="AW13" s="328"/>
      <c r="AX13" s="324" t="s">
        <v>288</v>
      </c>
    </row>
    <row r="14" spans="1:50" s="111" customFormat="1" ht="38.25" customHeight="1" x14ac:dyDescent="0.25">
      <c r="A14" s="320"/>
      <c r="B14" s="320"/>
      <c r="C14" s="320"/>
      <c r="D14" s="334" t="s">
        <v>7</v>
      </c>
      <c r="E14" s="334" t="s">
        <v>12</v>
      </c>
      <c r="F14" s="334" t="s">
        <v>40</v>
      </c>
      <c r="G14" s="334" t="s">
        <v>41</v>
      </c>
      <c r="H14" s="320"/>
      <c r="I14" s="320"/>
      <c r="J14" s="320" t="s">
        <v>285</v>
      </c>
      <c r="K14" s="320"/>
      <c r="L14" s="320" t="s">
        <v>286</v>
      </c>
      <c r="M14" s="320"/>
      <c r="N14" s="320" t="s">
        <v>287</v>
      </c>
      <c r="O14" s="320"/>
      <c r="P14" s="320" t="s">
        <v>13</v>
      </c>
      <c r="Q14" s="320"/>
      <c r="R14" s="326" t="s">
        <v>297</v>
      </c>
      <c r="S14" s="328"/>
      <c r="T14" s="326" t="s">
        <v>298</v>
      </c>
      <c r="U14" s="328"/>
      <c r="V14" s="326" t="s">
        <v>299</v>
      </c>
      <c r="W14" s="328"/>
      <c r="X14" s="326" t="s">
        <v>13</v>
      </c>
      <c r="Y14" s="328"/>
      <c r="Z14" s="326" t="s">
        <v>363</v>
      </c>
      <c r="AA14" s="327"/>
      <c r="AB14" s="328"/>
      <c r="AC14" s="326" t="s">
        <v>364</v>
      </c>
      <c r="AD14" s="327"/>
      <c r="AE14" s="328"/>
      <c r="AF14" s="326" t="s">
        <v>365</v>
      </c>
      <c r="AG14" s="327"/>
      <c r="AH14" s="328"/>
      <c r="AI14" s="326" t="s">
        <v>13</v>
      </c>
      <c r="AJ14" s="327"/>
      <c r="AK14" s="328"/>
      <c r="AL14" s="326" t="s">
        <v>415</v>
      </c>
      <c r="AM14" s="327"/>
      <c r="AN14" s="328"/>
      <c r="AO14" s="326" t="s">
        <v>416</v>
      </c>
      <c r="AP14" s="327"/>
      <c r="AQ14" s="328"/>
      <c r="AR14" s="326" t="s">
        <v>417</v>
      </c>
      <c r="AS14" s="327"/>
      <c r="AT14" s="328"/>
      <c r="AU14" s="326" t="s">
        <v>13</v>
      </c>
      <c r="AV14" s="327"/>
      <c r="AW14" s="328"/>
      <c r="AX14" s="324"/>
    </row>
    <row r="15" spans="1:50" s="111" customFormat="1" ht="88.5" customHeight="1" x14ac:dyDescent="0.25">
      <c r="A15" s="320"/>
      <c r="B15" s="320"/>
      <c r="C15" s="320"/>
      <c r="D15" s="336"/>
      <c r="E15" s="336"/>
      <c r="F15" s="336"/>
      <c r="G15" s="336"/>
      <c r="H15" s="320"/>
      <c r="I15" s="320"/>
      <c r="J15" s="94" t="s">
        <v>7</v>
      </c>
      <c r="K15" s="94" t="s">
        <v>12</v>
      </c>
      <c r="L15" s="94" t="s">
        <v>7</v>
      </c>
      <c r="M15" s="94" t="s">
        <v>12</v>
      </c>
      <c r="N15" s="94" t="s">
        <v>7</v>
      </c>
      <c r="O15" s="94" t="s">
        <v>12</v>
      </c>
      <c r="P15" s="94" t="s">
        <v>7</v>
      </c>
      <c r="Q15" s="94" t="s">
        <v>12</v>
      </c>
      <c r="R15" s="94" t="s">
        <v>7</v>
      </c>
      <c r="S15" s="94" t="s">
        <v>12</v>
      </c>
      <c r="T15" s="94" t="s">
        <v>7</v>
      </c>
      <c r="U15" s="94" t="s">
        <v>12</v>
      </c>
      <c r="V15" s="94" t="s">
        <v>7</v>
      </c>
      <c r="W15" s="94" t="s">
        <v>12</v>
      </c>
      <c r="X15" s="94" t="s">
        <v>7</v>
      </c>
      <c r="Y15" s="94" t="s">
        <v>12</v>
      </c>
      <c r="Z15" s="94" t="s">
        <v>7</v>
      </c>
      <c r="AA15" s="94" t="s">
        <v>12</v>
      </c>
      <c r="AB15" s="94" t="s">
        <v>40</v>
      </c>
      <c r="AC15" s="94" t="s">
        <v>7</v>
      </c>
      <c r="AD15" s="94" t="s">
        <v>12</v>
      </c>
      <c r="AE15" s="94" t="s">
        <v>40</v>
      </c>
      <c r="AF15" s="94" t="s">
        <v>7</v>
      </c>
      <c r="AG15" s="94" t="s">
        <v>12</v>
      </c>
      <c r="AH15" s="94" t="s">
        <v>40</v>
      </c>
      <c r="AI15" s="94" t="s">
        <v>7</v>
      </c>
      <c r="AJ15" s="94" t="s">
        <v>12</v>
      </c>
      <c r="AK15" s="94" t="s">
        <v>40</v>
      </c>
      <c r="AL15" s="94" t="s">
        <v>7</v>
      </c>
      <c r="AM15" s="94" t="s">
        <v>12</v>
      </c>
      <c r="AN15" s="94" t="s">
        <v>40</v>
      </c>
      <c r="AO15" s="94" t="s">
        <v>7</v>
      </c>
      <c r="AP15" s="94" t="s">
        <v>12</v>
      </c>
      <c r="AQ15" s="94" t="s">
        <v>40</v>
      </c>
      <c r="AR15" s="94" t="s">
        <v>7</v>
      </c>
      <c r="AS15" s="94" t="s">
        <v>12</v>
      </c>
      <c r="AT15" s="94" t="s">
        <v>40</v>
      </c>
      <c r="AU15" s="94" t="s">
        <v>7</v>
      </c>
      <c r="AV15" s="94" t="s">
        <v>12</v>
      </c>
      <c r="AW15" s="94" t="s">
        <v>40</v>
      </c>
      <c r="AX15" s="324"/>
    </row>
    <row r="16" spans="1:50" s="114" customFormat="1" ht="80.25" customHeight="1" x14ac:dyDescent="0.35">
      <c r="A16" s="125">
        <v>1</v>
      </c>
      <c r="B16" s="94" t="s">
        <v>64</v>
      </c>
      <c r="C16" s="97">
        <f>D16+E16+F16+G16</f>
        <v>483066</v>
      </c>
      <c r="D16" s="97">
        <f>130680+44496+6670</f>
        <v>181846</v>
      </c>
      <c r="E16" s="97">
        <f>401220-59000-41000</f>
        <v>301220</v>
      </c>
      <c r="F16" s="97"/>
      <c r="G16" s="126"/>
      <c r="H16" s="94" t="s">
        <v>45</v>
      </c>
      <c r="I16" s="94" t="s">
        <v>46</v>
      </c>
      <c r="J16" s="83">
        <v>14560</v>
      </c>
      <c r="K16" s="103">
        <v>25100</v>
      </c>
      <c r="L16" s="83">
        <v>14560</v>
      </c>
      <c r="M16" s="103">
        <v>25100</v>
      </c>
      <c r="N16" s="83">
        <v>14960</v>
      </c>
      <c r="O16" s="103">
        <v>25100</v>
      </c>
      <c r="P16" s="113">
        <f>J16+L16+N16</f>
        <v>44080</v>
      </c>
      <c r="Q16" s="113">
        <f>K16+M16+O16</f>
        <v>75300</v>
      </c>
      <c r="R16" s="84">
        <v>14760</v>
      </c>
      <c r="S16" s="103">
        <v>25100</v>
      </c>
      <c r="T16" s="84">
        <v>14760</v>
      </c>
      <c r="U16" s="103">
        <v>25100</v>
      </c>
      <c r="V16" s="84">
        <v>16207.619999999995</v>
      </c>
      <c r="W16" s="103">
        <v>25100</v>
      </c>
      <c r="X16" s="113">
        <f>R16+T16+V16</f>
        <v>45727.619999999995</v>
      </c>
      <c r="Y16" s="113">
        <f>S16+U16+W16</f>
        <v>75300</v>
      </c>
      <c r="Z16" s="113">
        <v>13312.380000000005</v>
      </c>
      <c r="AA16" s="103">
        <v>25100</v>
      </c>
      <c r="AB16" s="113"/>
      <c r="AC16" s="84">
        <v>15925.449999999997</v>
      </c>
      <c r="AD16" s="103">
        <v>25100</v>
      </c>
      <c r="AE16" s="113"/>
      <c r="AF16" s="113">
        <v>16100.000000000015</v>
      </c>
      <c r="AG16" s="103">
        <f>25100</f>
        <v>25100</v>
      </c>
      <c r="AH16" s="113"/>
      <c r="AI16" s="113">
        <f>Z16+AC16+AF16</f>
        <v>45337.830000000016</v>
      </c>
      <c r="AJ16" s="113">
        <f>AA16+AD16+AG16</f>
        <v>75300</v>
      </c>
      <c r="AK16" s="113">
        <f>AB16+AE16+AH16</f>
        <v>0</v>
      </c>
      <c r="AL16" s="85">
        <v>14500</v>
      </c>
      <c r="AM16" s="113">
        <v>25100</v>
      </c>
      <c r="AN16" s="113"/>
      <c r="AO16" s="84">
        <v>16100</v>
      </c>
      <c r="AP16" s="113">
        <v>25100</v>
      </c>
      <c r="AQ16" s="113"/>
      <c r="AR16" s="84">
        <v>16100</v>
      </c>
      <c r="AS16" s="113">
        <v>25100</v>
      </c>
      <c r="AT16" s="113"/>
      <c r="AU16" s="113">
        <f>AL16+AO16+AR16</f>
        <v>46700</v>
      </c>
      <c r="AV16" s="113">
        <f>AM16+AP16+AS16</f>
        <v>75300</v>
      </c>
      <c r="AW16" s="113">
        <f>AN16+AQ16+AT16</f>
        <v>0</v>
      </c>
      <c r="AX16" s="94" t="s">
        <v>294</v>
      </c>
    </row>
    <row r="17" spans="1:50" s="114" customFormat="1" ht="107.25" customHeight="1" x14ac:dyDescent="0.35">
      <c r="A17" s="125">
        <v>2</v>
      </c>
      <c r="B17" s="125" t="s">
        <v>94</v>
      </c>
      <c r="C17" s="97">
        <f>D17+E17+F17+G17</f>
        <v>48190</v>
      </c>
      <c r="D17" s="97">
        <f>4500+1250+1440</f>
        <v>7190</v>
      </c>
      <c r="E17" s="97">
        <v>41000</v>
      </c>
      <c r="F17" s="97"/>
      <c r="G17" s="126"/>
      <c r="H17" s="94" t="s">
        <v>45</v>
      </c>
      <c r="I17" s="94" t="s">
        <v>46</v>
      </c>
      <c r="J17" s="125"/>
      <c r="K17" s="112"/>
      <c r="L17" s="112"/>
      <c r="M17" s="112"/>
      <c r="N17" s="112"/>
      <c r="O17" s="112"/>
      <c r="P17" s="113">
        <f t="shared" ref="P17:P21" si="0">J17+L17+N17</f>
        <v>0</v>
      </c>
      <c r="Q17" s="113">
        <f t="shared" ref="Q17:Q21" si="1">K17+M17+O17</f>
        <v>0</v>
      </c>
      <c r="R17" s="84"/>
      <c r="S17" s="113"/>
      <c r="T17" s="113"/>
      <c r="U17" s="113"/>
      <c r="V17" s="113"/>
      <c r="W17" s="113"/>
      <c r="X17" s="113">
        <f t="shared" ref="X17:X21" si="2">R17+T17+V17</f>
        <v>0</v>
      </c>
      <c r="Y17" s="113">
        <f t="shared" ref="Y17:Y21" si="3">S17+U17+W17</f>
        <v>0</v>
      </c>
      <c r="Z17" s="113">
        <v>0</v>
      </c>
      <c r="AA17" s="113"/>
      <c r="AB17" s="113"/>
      <c r="AC17" s="84">
        <v>3150</v>
      </c>
      <c r="AD17" s="113"/>
      <c r="AE17" s="113"/>
      <c r="AF17" s="113">
        <v>340</v>
      </c>
      <c r="AG17" s="113">
        <f>13450</f>
        <v>13450</v>
      </c>
      <c r="AH17" s="113"/>
      <c r="AI17" s="113">
        <f t="shared" ref="AI17:AI21" si="4">Z17+AC17+AF17</f>
        <v>3490</v>
      </c>
      <c r="AJ17" s="113">
        <f t="shared" ref="AJ17:AJ21" si="5">AA17+AD17+AG17</f>
        <v>13450</v>
      </c>
      <c r="AK17" s="113">
        <f t="shared" ref="AK17:AK21" si="6">AB17+AE17+AH17</f>
        <v>0</v>
      </c>
      <c r="AL17" s="85">
        <v>0</v>
      </c>
      <c r="AM17" s="113"/>
      <c r="AN17" s="113"/>
      <c r="AO17" s="84">
        <v>2548</v>
      </c>
      <c r="AP17" s="113"/>
      <c r="AQ17" s="113"/>
      <c r="AR17" s="84">
        <v>1146.7799999999997</v>
      </c>
      <c r="AS17" s="113">
        <v>27270</v>
      </c>
      <c r="AT17" s="113"/>
      <c r="AU17" s="113">
        <f t="shared" ref="AU17:AU29" si="7">AL17+AO17+AR17</f>
        <v>3694.7799999999997</v>
      </c>
      <c r="AV17" s="113">
        <f t="shared" ref="AV17:AV29" si="8">AM17+AP17+AS17</f>
        <v>27270</v>
      </c>
      <c r="AW17" s="113">
        <f t="shared" ref="AW17:AW29" si="9">AN17+AQ17+AT17</f>
        <v>0</v>
      </c>
      <c r="AX17" s="94" t="s">
        <v>438</v>
      </c>
    </row>
    <row r="18" spans="1:50" s="114" customFormat="1" ht="67.5" customHeight="1" x14ac:dyDescent="0.35">
      <c r="A18" s="125">
        <v>3</v>
      </c>
      <c r="B18" s="95" t="s">
        <v>14</v>
      </c>
      <c r="C18" s="97">
        <f t="shared" ref="C18:C29" si="10">D18+E18+F18+G18</f>
        <v>25000</v>
      </c>
      <c r="D18" s="128">
        <f>25000+2500-2500</f>
        <v>25000</v>
      </c>
      <c r="E18" s="128"/>
      <c r="F18" s="128"/>
      <c r="G18" s="126"/>
      <c r="H18" s="94" t="s">
        <v>57</v>
      </c>
      <c r="I18" s="94" t="s">
        <v>58</v>
      </c>
      <c r="J18" s="125"/>
      <c r="K18" s="112"/>
      <c r="L18" s="112"/>
      <c r="M18" s="112"/>
      <c r="N18" s="83">
        <v>6432.6</v>
      </c>
      <c r="O18" s="112"/>
      <c r="P18" s="113">
        <f t="shared" si="0"/>
        <v>6432.6</v>
      </c>
      <c r="Q18" s="113">
        <f t="shared" si="1"/>
        <v>0</v>
      </c>
      <c r="R18" s="84">
        <v>926</v>
      </c>
      <c r="S18" s="113"/>
      <c r="T18" s="113"/>
      <c r="U18" s="113"/>
      <c r="V18" s="84">
        <v>456.07999999999993</v>
      </c>
      <c r="W18" s="113"/>
      <c r="X18" s="113">
        <f t="shared" si="2"/>
        <v>1382.08</v>
      </c>
      <c r="Y18" s="113">
        <f t="shared" si="3"/>
        <v>0</v>
      </c>
      <c r="Z18" s="113">
        <v>3660</v>
      </c>
      <c r="AA18" s="113"/>
      <c r="AB18" s="113"/>
      <c r="AC18" s="113"/>
      <c r="AD18" s="113"/>
      <c r="AE18" s="113"/>
      <c r="AF18" s="113">
        <v>2581.119999999999</v>
      </c>
      <c r="AG18" s="113"/>
      <c r="AH18" s="113"/>
      <c r="AI18" s="113">
        <f t="shared" si="4"/>
        <v>6241.119999999999</v>
      </c>
      <c r="AJ18" s="113">
        <f t="shared" si="5"/>
        <v>0</v>
      </c>
      <c r="AK18" s="113">
        <f t="shared" si="6"/>
        <v>0</v>
      </c>
      <c r="AL18" s="85">
        <v>6485.5</v>
      </c>
      <c r="AM18" s="113"/>
      <c r="AN18" s="113"/>
      <c r="AO18" s="84">
        <v>1700.9900000000016</v>
      </c>
      <c r="AP18" s="113"/>
      <c r="AQ18" s="113"/>
      <c r="AR18" s="84">
        <v>2630.1199999999953</v>
      </c>
      <c r="AS18" s="113"/>
      <c r="AT18" s="113"/>
      <c r="AU18" s="113">
        <f t="shared" si="7"/>
        <v>10816.609999999997</v>
      </c>
      <c r="AV18" s="113">
        <f t="shared" si="8"/>
        <v>0</v>
      </c>
      <c r="AW18" s="113">
        <f t="shared" si="9"/>
        <v>0</v>
      </c>
      <c r="AX18" s="125" t="s">
        <v>295</v>
      </c>
    </row>
    <row r="19" spans="1:50" s="114" customFormat="1" ht="67.5" customHeight="1" x14ac:dyDescent="0.35">
      <c r="A19" s="125">
        <v>4</v>
      </c>
      <c r="B19" s="86" t="s">
        <v>48</v>
      </c>
      <c r="C19" s="97">
        <f t="shared" si="10"/>
        <v>2500</v>
      </c>
      <c r="D19" s="128">
        <v>2500</v>
      </c>
      <c r="E19" s="128"/>
      <c r="F19" s="128"/>
      <c r="G19" s="126"/>
      <c r="H19" s="95" t="s">
        <v>268</v>
      </c>
      <c r="I19" s="94" t="s">
        <v>24</v>
      </c>
      <c r="J19" s="94"/>
      <c r="K19" s="112"/>
      <c r="L19" s="112"/>
      <c r="M19" s="112"/>
      <c r="N19" s="112"/>
      <c r="O19" s="112"/>
      <c r="P19" s="113">
        <f t="shared" si="0"/>
        <v>0</v>
      </c>
      <c r="Q19" s="113">
        <f t="shared" si="1"/>
        <v>0</v>
      </c>
      <c r="R19" s="113"/>
      <c r="S19" s="113"/>
      <c r="T19" s="113"/>
      <c r="U19" s="113"/>
      <c r="V19" s="113"/>
      <c r="W19" s="113"/>
      <c r="X19" s="113">
        <f t="shared" si="2"/>
        <v>0</v>
      </c>
      <c r="Y19" s="113">
        <f t="shared" si="3"/>
        <v>0</v>
      </c>
      <c r="Z19" s="113">
        <v>1000</v>
      </c>
      <c r="AA19" s="113"/>
      <c r="AB19" s="113"/>
      <c r="AC19" s="113"/>
      <c r="AD19" s="113"/>
      <c r="AE19" s="113"/>
      <c r="AF19" s="113"/>
      <c r="AG19" s="113"/>
      <c r="AH19" s="113"/>
      <c r="AI19" s="113">
        <f t="shared" si="4"/>
        <v>1000</v>
      </c>
      <c r="AJ19" s="113">
        <f t="shared" si="5"/>
        <v>0</v>
      </c>
      <c r="AK19" s="113">
        <f t="shared" si="6"/>
        <v>0</v>
      </c>
      <c r="AL19" s="85">
        <v>0</v>
      </c>
      <c r="AM19" s="113"/>
      <c r="AN19" s="113"/>
      <c r="AO19" s="84">
        <v>0</v>
      </c>
      <c r="AP19" s="113"/>
      <c r="AQ19" s="113"/>
      <c r="AR19" s="84">
        <v>0</v>
      </c>
      <c r="AS19" s="113"/>
      <c r="AT19" s="113"/>
      <c r="AU19" s="113">
        <f t="shared" si="7"/>
        <v>0</v>
      </c>
      <c r="AV19" s="113">
        <f t="shared" si="8"/>
        <v>0</v>
      </c>
      <c r="AW19" s="113">
        <f t="shared" si="9"/>
        <v>0</v>
      </c>
      <c r="AX19" s="112"/>
    </row>
    <row r="20" spans="1:50" s="114" customFormat="1" ht="144" customHeight="1" x14ac:dyDescent="0.35">
      <c r="A20" s="125">
        <v>5</v>
      </c>
      <c r="B20" s="95" t="s">
        <v>464</v>
      </c>
      <c r="C20" s="97">
        <f t="shared" si="10"/>
        <v>83450</v>
      </c>
      <c r="D20" s="128">
        <f>1500+10440+3000+16250+2620-1250-1440-6670</f>
        <v>24450</v>
      </c>
      <c r="E20" s="126">
        <v>59000</v>
      </c>
      <c r="F20" s="128"/>
      <c r="G20" s="126"/>
      <c r="H20" s="95" t="s">
        <v>85</v>
      </c>
      <c r="I20" s="94" t="s">
        <v>98</v>
      </c>
      <c r="J20" s="94"/>
      <c r="K20" s="112"/>
      <c r="L20" s="125"/>
      <c r="M20" s="112"/>
      <c r="N20" s="125">
        <f>729.4+100</f>
        <v>829.4</v>
      </c>
      <c r="O20" s="112"/>
      <c r="P20" s="113">
        <f t="shared" si="0"/>
        <v>829.4</v>
      </c>
      <c r="Q20" s="113">
        <f t="shared" si="1"/>
        <v>0</v>
      </c>
      <c r="R20" s="113">
        <v>202.5</v>
      </c>
      <c r="S20" s="113"/>
      <c r="T20" s="113"/>
      <c r="U20" s="113"/>
      <c r="V20" s="113"/>
      <c r="W20" s="113"/>
      <c r="X20" s="113">
        <f t="shared" si="2"/>
        <v>202.5</v>
      </c>
      <c r="Y20" s="113">
        <f t="shared" si="3"/>
        <v>0</v>
      </c>
      <c r="Z20" s="113"/>
      <c r="AA20" s="113"/>
      <c r="AB20" s="113"/>
      <c r="AC20" s="113"/>
      <c r="AD20" s="113"/>
      <c r="AE20" s="113"/>
      <c r="AF20" s="113"/>
      <c r="AG20" s="113"/>
      <c r="AH20" s="113"/>
      <c r="AI20" s="113">
        <f t="shared" si="4"/>
        <v>0</v>
      </c>
      <c r="AJ20" s="113">
        <f t="shared" si="5"/>
        <v>0</v>
      </c>
      <c r="AK20" s="113">
        <f t="shared" si="6"/>
        <v>0</v>
      </c>
      <c r="AL20" s="113"/>
      <c r="AM20" s="113"/>
      <c r="AN20" s="113"/>
      <c r="AO20" s="113"/>
      <c r="AP20" s="113"/>
      <c r="AQ20" s="113"/>
      <c r="AR20" s="113">
        <v>13276.75</v>
      </c>
      <c r="AS20" s="113">
        <v>44300</v>
      </c>
      <c r="AT20" s="113"/>
      <c r="AU20" s="113">
        <f t="shared" si="7"/>
        <v>13276.75</v>
      </c>
      <c r="AV20" s="113">
        <f t="shared" si="8"/>
        <v>44300</v>
      </c>
      <c r="AW20" s="113">
        <f t="shared" si="9"/>
        <v>0</v>
      </c>
      <c r="AX20" s="94" t="s">
        <v>439</v>
      </c>
    </row>
    <row r="21" spans="1:50" s="114" customFormat="1" ht="65.25" customHeight="1" x14ac:dyDescent="0.35">
      <c r="A21" s="125">
        <v>6</v>
      </c>
      <c r="B21" s="94" t="s">
        <v>81</v>
      </c>
      <c r="C21" s="97">
        <f t="shared" si="10"/>
        <v>4000</v>
      </c>
      <c r="D21" s="128">
        <v>4000</v>
      </c>
      <c r="E21" s="128"/>
      <c r="F21" s="128"/>
      <c r="G21" s="126"/>
      <c r="H21" s="95" t="s">
        <v>85</v>
      </c>
      <c r="I21" s="94" t="s">
        <v>49</v>
      </c>
      <c r="J21" s="125"/>
      <c r="K21" s="112"/>
      <c r="L21" s="112"/>
      <c r="M21" s="112"/>
      <c r="N21" s="112"/>
      <c r="O21" s="112"/>
      <c r="P21" s="113">
        <f t="shared" si="0"/>
        <v>0</v>
      </c>
      <c r="Q21" s="113">
        <f t="shared" si="1"/>
        <v>0</v>
      </c>
      <c r="R21" s="113"/>
      <c r="S21" s="113"/>
      <c r="T21" s="113"/>
      <c r="U21" s="113"/>
      <c r="V21" s="113"/>
      <c r="W21" s="113"/>
      <c r="X21" s="113">
        <f t="shared" si="2"/>
        <v>0</v>
      </c>
      <c r="Y21" s="113">
        <f t="shared" si="3"/>
        <v>0</v>
      </c>
      <c r="Z21" s="84">
        <v>2300</v>
      </c>
      <c r="AA21" s="113"/>
      <c r="AB21" s="113"/>
      <c r="AC21" s="113"/>
      <c r="AD21" s="113"/>
      <c r="AE21" s="113"/>
      <c r="AF21" s="113"/>
      <c r="AG21" s="113"/>
      <c r="AH21" s="113"/>
      <c r="AI21" s="113">
        <f t="shared" si="4"/>
        <v>2300</v>
      </c>
      <c r="AJ21" s="113">
        <f t="shared" si="5"/>
        <v>0</v>
      </c>
      <c r="AK21" s="113">
        <f t="shared" si="6"/>
        <v>0</v>
      </c>
      <c r="AL21" s="113"/>
      <c r="AM21" s="113"/>
      <c r="AN21" s="113"/>
      <c r="AO21" s="113"/>
      <c r="AP21" s="113"/>
      <c r="AQ21" s="113"/>
      <c r="AR21" s="113"/>
      <c r="AS21" s="113"/>
      <c r="AT21" s="113"/>
      <c r="AU21" s="113">
        <f t="shared" si="7"/>
        <v>0</v>
      </c>
      <c r="AV21" s="113">
        <f t="shared" si="8"/>
        <v>0</v>
      </c>
      <c r="AW21" s="113">
        <f t="shared" si="9"/>
        <v>0</v>
      </c>
      <c r="AX21" s="125" t="s">
        <v>397</v>
      </c>
    </row>
    <row r="22" spans="1:50" s="114" customFormat="1" ht="90" x14ac:dyDescent="0.35">
      <c r="A22" s="125">
        <v>7</v>
      </c>
      <c r="B22" s="94" t="s">
        <v>398</v>
      </c>
      <c r="C22" s="97">
        <f t="shared" si="10"/>
        <v>19350</v>
      </c>
      <c r="D22" s="128"/>
      <c r="E22" s="128">
        <f>2500+2500+4500+4800+1050+4000</f>
        <v>19350</v>
      </c>
      <c r="F22" s="128"/>
      <c r="G22" s="126"/>
      <c r="H22" s="95" t="s">
        <v>406</v>
      </c>
      <c r="I22" s="94" t="s">
        <v>322</v>
      </c>
      <c r="J22" s="125"/>
      <c r="K22" s="112"/>
      <c r="L22" s="112"/>
      <c r="M22" s="112"/>
      <c r="N22" s="112"/>
      <c r="O22" s="112"/>
      <c r="P22" s="113">
        <f t="shared" ref="P22:P29" si="11">J22+L22+N22</f>
        <v>0</v>
      </c>
      <c r="Q22" s="113">
        <f t="shared" ref="Q22:Q29" si="12">K22+M22+O22</f>
        <v>0</v>
      </c>
      <c r="R22" s="113"/>
      <c r="S22" s="113"/>
      <c r="T22" s="113"/>
      <c r="U22" s="113"/>
      <c r="V22" s="113"/>
      <c r="W22" s="113"/>
      <c r="X22" s="113">
        <f t="shared" ref="X22:X29" si="13">R22+T22+V22</f>
        <v>0</v>
      </c>
      <c r="Y22" s="113">
        <f t="shared" ref="Y22:Y29" si="14">S22+U22+W22</f>
        <v>0</v>
      </c>
      <c r="Z22" s="84"/>
      <c r="AA22" s="113"/>
      <c r="AB22" s="113"/>
      <c r="AC22" s="113"/>
      <c r="AD22" s="113"/>
      <c r="AE22" s="113"/>
      <c r="AF22" s="113"/>
      <c r="AG22" s="113">
        <f>2500+1415</f>
        <v>3915</v>
      </c>
      <c r="AH22" s="113"/>
      <c r="AI22" s="113">
        <f t="shared" ref="AI22:AI29" si="15">Z22+AC22+AF22</f>
        <v>0</v>
      </c>
      <c r="AJ22" s="113">
        <f t="shared" ref="AJ22:AJ29" si="16">AA22+AD22+AG22</f>
        <v>3915</v>
      </c>
      <c r="AK22" s="113">
        <f t="shared" ref="AK22:AK29" si="17">AB22+AE22+AH22</f>
        <v>0</v>
      </c>
      <c r="AL22" s="113"/>
      <c r="AM22" s="103">
        <v>14269</v>
      </c>
      <c r="AN22" s="113"/>
      <c r="AO22" s="113"/>
      <c r="AP22" s="113"/>
      <c r="AQ22" s="113"/>
      <c r="AR22" s="113"/>
      <c r="AS22" s="113"/>
      <c r="AT22" s="113"/>
      <c r="AU22" s="113">
        <f t="shared" si="7"/>
        <v>0</v>
      </c>
      <c r="AV22" s="113">
        <f t="shared" si="8"/>
        <v>14269</v>
      </c>
      <c r="AW22" s="113">
        <f t="shared" si="9"/>
        <v>0</v>
      </c>
      <c r="AX22" s="94" t="s">
        <v>409</v>
      </c>
    </row>
    <row r="23" spans="1:50" s="114" customFormat="1" ht="90" x14ac:dyDescent="0.35">
      <c r="A23" s="125">
        <v>8</v>
      </c>
      <c r="B23" s="94" t="s">
        <v>399</v>
      </c>
      <c r="C23" s="97">
        <f t="shared" si="10"/>
        <v>5850</v>
      </c>
      <c r="D23" s="128"/>
      <c r="E23" s="128">
        <v>5850</v>
      </c>
      <c r="F23" s="128"/>
      <c r="G23" s="126"/>
      <c r="H23" s="95" t="s">
        <v>406</v>
      </c>
      <c r="I23" s="94" t="s">
        <v>49</v>
      </c>
      <c r="J23" s="125"/>
      <c r="K23" s="112"/>
      <c r="L23" s="112"/>
      <c r="M23" s="112"/>
      <c r="N23" s="112"/>
      <c r="O23" s="112"/>
      <c r="P23" s="113">
        <f t="shared" si="11"/>
        <v>0</v>
      </c>
      <c r="Q23" s="113">
        <f t="shared" si="12"/>
        <v>0</v>
      </c>
      <c r="R23" s="113"/>
      <c r="S23" s="113"/>
      <c r="T23" s="113"/>
      <c r="U23" s="113"/>
      <c r="V23" s="113"/>
      <c r="W23" s="113"/>
      <c r="X23" s="113">
        <f t="shared" si="13"/>
        <v>0</v>
      </c>
      <c r="Y23" s="113">
        <f t="shared" si="14"/>
        <v>0</v>
      </c>
      <c r="Z23" s="84"/>
      <c r="AA23" s="113"/>
      <c r="AB23" s="113"/>
      <c r="AC23" s="113"/>
      <c r="AD23" s="113"/>
      <c r="AE23" s="113"/>
      <c r="AF23" s="113"/>
      <c r="AG23" s="113"/>
      <c r="AH23" s="113"/>
      <c r="AI23" s="113">
        <f t="shared" si="15"/>
        <v>0</v>
      </c>
      <c r="AJ23" s="113">
        <f t="shared" si="16"/>
        <v>0</v>
      </c>
      <c r="AK23" s="113">
        <f t="shared" si="17"/>
        <v>0</v>
      </c>
      <c r="AL23" s="113"/>
      <c r="AM23" s="103">
        <v>3384.5</v>
      </c>
      <c r="AN23" s="113"/>
      <c r="AO23" s="113"/>
      <c r="AP23" s="113"/>
      <c r="AQ23" s="113"/>
      <c r="AR23" s="113"/>
      <c r="AS23" s="113"/>
      <c r="AT23" s="113"/>
      <c r="AU23" s="113">
        <f t="shared" si="7"/>
        <v>0</v>
      </c>
      <c r="AV23" s="113">
        <f t="shared" si="8"/>
        <v>3384.5</v>
      </c>
      <c r="AW23" s="113">
        <f t="shared" si="9"/>
        <v>0</v>
      </c>
      <c r="AX23" s="94" t="s">
        <v>409</v>
      </c>
    </row>
    <row r="24" spans="1:50" s="114" customFormat="1" ht="90" x14ac:dyDescent="0.35">
      <c r="A24" s="125">
        <v>9</v>
      </c>
      <c r="B24" s="94" t="s">
        <v>400</v>
      </c>
      <c r="C24" s="97">
        <f t="shared" si="10"/>
        <v>4800</v>
      </c>
      <c r="D24" s="128"/>
      <c r="E24" s="128">
        <v>4800</v>
      </c>
      <c r="F24" s="128"/>
      <c r="G24" s="126"/>
      <c r="H24" s="95" t="s">
        <v>406</v>
      </c>
      <c r="I24" s="94" t="s">
        <v>407</v>
      </c>
      <c r="J24" s="125"/>
      <c r="K24" s="112"/>
      <c r="L24" s="112"/>
      <c r="M24" s="112"/>
      <c r="N24" s="112"/>
      <c r="O24" s="112"/>
      <c r="P24" s="113">
        <f t="shared" si="11"/>
        <v>0</v>
      </c>
      <c r="Q24" s="113">
        <f t="shared" si="12"/>
        <v>0</v>
      </c>
      <c r="R24" s="113"/>
      <c r="S24" s="113"/>
      <c r="T24" s="113"/>
      <c r="U24" s="113"/>
      <c r="V24" s="113"/>
      <c r="W24" s="113"/>
      <c r="X24" s="113">
        <f t="shared" si="13"/>
        <v>0</v>
      </c>
      <c r="Y24" s="113">
        <f t="shared" si="14"/>
        <v>0</v>
      </c>
      <c r="Z24" s="84"/>
      <c r="AA24" s="113"/>
      <c r="AB24" s="113"/>
      <c r="AC24" s="113"/>
      <c r="AD24" s="113"/>
      <c r="AE24" s="113"/>
      <c r="AF24" s="113"/>
      <c r="AG24" s="113">
        <f>4800</f>
        <v>4800</v>
      </c>
      <c r="AH24" s="113"/>
      <c r="AI24" s="113">
        <f t="shared" si="15"/>
        <v>0</v>
      </c>
      <c r="AJ24" s="113">
        <f t="shared" si="16"/>
        <v>4800</v>
      </c>
      <c r="AK24" s="113">
        <f t="shared" si="17"/>
        <v>0</v>
      </c>
      <c r="AL24" s="113"/>
      <c r="AM24" s="113"/>
      <c r="AN24" s="113"/>
      <c r="AO24" s="113"/>
      <c r="AP24" s="113"/>
      <c r="AQ24" s="113"/>
      <c r="AR24" s="113"/>
      <c r="AS24" s="113"/>
      <c r="AT24" s="113"/>
      <c r="AU24" s="113">
        <f t="shared" si="7"/>
        <v>0</v>
      </c>
      <c r="AV24" s="113">
        <f t="shared" si="8"/>
        <v>0</v>
      </c>
      <c r="AW24" s="113">
        <f t="shared" si="9"/>
        <v>0</v>
      </c>
      <c r="AX24" s="94" t="s">
        <v>409</v>
      </c>
    </row>
    <row r="25" spans="1:50" s="114" customFormat="1" ht="90" x14ac:dyDescent="0.35">
      <c r="A25" s="125">
        <v>10</v>
      </c>
      <c r="B25" s="94" t="s">
        <v>401</v>
      </c>
      <c r="C25" s="97">
        <f t="shared" si="10"/>
        <v>5365</v>
      </c>
      <c r="D25" s="128"/>
      <c r="E25" s="128"/>
      <c r="F25" s="128">
        <v>5365</v>
      </c>
      <c r="G25" s="126"/>
      <c r="H25" s="94" t="s">
        <v>408</v>
      </c>
      <c r="I25" s="94" t="s">
        <v>49</v>
      </c>
      <c r="J25" s="125"/>
      <c r="K25" s="112"/>
      <c r="L25" s="112"/>
      <c r="M25" s="112"/>
      <c r="N25" s="112"/>
      <c r="O25" s="112"/>
      <c r="P25" s="113">
        <f t="shared" si="11"/>
        <v>0</v>
      </c>
      <c r="Q25" s="113">
        <f t="shared" si="12"/>
        <v>0</v>
      </c>
      <c r="R25" s="113"/>
      <c r="S25" s="113"/>
      <c r="T25" s="113"/>
      <c r="U25" s="113"/>
      <c r="V25" s="113"/>
      <c r="W25" s="113"/>
      <c r="X25" s="113">
        <f t="shared" si="13"/>
        <v>0</v>
      </c>
      <c r="Y25" s="113">
        <f t="shared" si="14"/>
        <v>0</v>
      </c>
      <c r="Z25" s="84"/>
      <c r="AA25" s="113"/>
      <c r="AB25" s="113"/>
      <c r="AC25" s="113"/>
      <c r="AD25" s="113"/>
      <c r="AE25" s="113"/>
      <c r="AF25" s="113"/>
      <c r="AG25" s="113"/>
      <c r="AH25" s="113"/>
      <c r="AI25" s="113">
        <f t="shared" si="15"/>
        <v>0</v>
      </c>
      <c r="AJ25" s="113">
        <f t="shared" si="16"/>
        <v>0</v>
      </c>
      <c r="AK25" s="113">
        <f t="shared" si="17"/>
        <v>0</v>
      </c>
      <c r="AL25" s="113"/>
      <c r="AM25" s="113"/>
      <c r="AN25" s="113">
        <v>4385</v>
      </c>
      <c r="AO25" s="113"/>
      <c r="AP25" s="113"/>
      <c r="AQ25" s="113"/>
      <c r="AR25" s="113"/>
      <c r="AS25" s="113"/>
      <c r="AT25" s="113"/>
      <c r="AU25" s="113">
        <f t="shared" si="7"/>
        <v>0</v>
      </c>
      <c r="AV25" s="113">
        <f t="shared" si="8"/>
        <v>0</v>
      </c>
      <c r="AW25" s="113">
        <f t="shared" si="9"/>
        <v>4385</v>
      </c>
      <c r="AX25" s="94" t="s">
        <v>409</v>
      </c>
    </row>
    <row r="26" spans="1:50" s="114" customFormat="1" ht="90" x14ac:dyDescent="0.35">
      <c r="A26" s="125">
        <v>11</v>
      </c>
      <c r="B26" s="94" t="s">
        <v>402</v>
      </c>
      <c r="C26" s="97">
        <f t="shared" si="10"/>
        <v>2200</v>
      </c>
      <c r="D26" s="128"/>
      <c r="E26" s="128"/>
      <c r="F26" s="128">
        <v>2200</v>
      </c>
      <c r="G26" s="126"/>
      <c r="H26" s="94" t="s">
        <v>408</v>
      </c>
      <c r="I26" s="94" t="s">
        <v>49</v>
      </c>
      <c r="J26" s="125"/>
      <c r="K26" s="112"/>
      <c r="L26" s="112"/>
      <c r="M26" s="112"/>
      <c r="N26" s="112"/>
      <c r="O26" s="112"/>
      <c r="P26" s="113">
        <f t="shared" si="11"/>
        <v>0</v>
      </c>
      <c r="Q26" s="113">
        <f t="shared" si="12"/>
        <v>0</v>
      </c>
      <c r="R26" s="113"/>
      <c r="S26" s="113"/>
      <c r="T26" s="113"/>
      <c r="U26" s="113"/>
      <c r="V26" s="113"/>
      <c r="W26" s="113"/>
      <c r="X26" s="113">
        <f t="shared" si="13"/>
        <v>0</v>
      </c>
      <c r="Y26" s="113">
        <f t="shared" si="14"/>
        <v>0</v>
      </c>
      <c r="Z26" s="84"/>
      <c r="AA26" s="113"/>
      <c r="AB26" s="113"/>
      <c r="AC26" s="113"/>
      <c r="AD26" s="113"/>
      <c r="AE26" s="113"/>
      <c r="AF26" s="113"/>
      <c r="AG26" s="113"/>
      <c r="AH26" s="113"/>
      <c r="AI26" s="113">
        <f t="shared" si="15"/>
        <v>0</v>
      </c>
      <c r="AJ26" s="113">
        <f t="shared" si="16"/>
        <v>0</v>
      </c>
      <c r="AK26" s="113">
        <f t="shared" si="17"/>
        <v>0</v>
      </c>
      <c r="AL26" s="113"/>
      <c r="AM26" s="113"/>
      <c r="AN26" s="113">
        <v>2195</v>
      </c>
      <c r="AO26" s="113"/>
      <c r="AP26" s="113"/>
      <c r="AQ26" s="113"/>
      <c r="AR26" s="113"/>
      <c r="AS26" s="113"/>
      <c r="AT26" s="113"/>
      <c r="AU26" s="113">
        <f t="shared" si="7"/>
        <v>0</v>
      </c>
      <c r="AV26" s="113">
        <f t="shared" si="8"/>
        <v>0</v>
      </c>
      <c r="AW26" s="113">
        <f t="shared" si="9"/>
        <v>2195</v>
      </c>
      <c r="AX26" s="94" t="s">
        <v>409</v>
      </c>
    </row>
    <row r="27" spans="1:50" s="114" customFormat="1" ht="90" x14ac:dyDescent="0.35">
      <c r="A27" s="125">
        <v>12</v>
      </c>
      <c r="B27" s="94" t="s">
        <v>403</v>
      </c>
      <c r="C27" s="97">
        <f t="shared" si="10"/>
        <v>3175</v>
      </c>
      <c r="D27" s="128"/>
      <c r="E27" s="128"/>
      <c r="F27" s="128">
        <v>3175</v>
      </c>
      <c r="G27" s="126"/>
      <c r="H27" s="94" t="s">
        <v>408</v>
      </c>
      <c r="I27" s="94" t="s">
        <v>49</v>
      </c>
      <c r="J27" s="125"/>
      <c r="K27" s="112"/>
      <c r="L27" s="112"/>
      <c r="M27" s="112"/>
      <c r="N27" s="112"/>
      <c r="O27" s="112"/>
      <c r="P27" s="113">
        <f t="shared" si="11"/>
        <v>0</v>
      </c>
      <c r="Q27" s="113">
        <f t="shared" si="12"/>
        <v>0</v>
      </c>
      <c r="R27" s="113"/>
      <c r="S27" s="113"/>
      <c r="T27" s="113"/>
      <c r="U27" s="113"/>
      <c r="V27" s="113"/>
      <c r="W27" s="113"/>
      <c r="X27" s="113">
        <f t="shared" si="13"/>
        <v>0</v>
      </c>
      <c r="Y27" s="113">
        <f t="shared" si="14"/>
        <v>0</v>
      </c>
      <c r="Z27" s="84"/>
      <c r="AA27" s="113"/>
      <c r="AB27" s="113"/>
      <c r="AC27" s="113"/>
      <c r="AD27" s="113"/>
      <c r="AE27" s="113"/>
      <c r="AF27" s="113"/>
      <c r="AG27" s="113"/>
      <c r="AH27" s="113"/>
      <c r="AI27" s="113">
        <f t="shared" si="15"/>
        <v>0</v>
      </c>
      <c r="AJ27" s="113">
        <f t="shared" si="16"/>
        <v>0</v>
      </c>
      <c r="AK27" s="113">
        <f t="shared" si="17"/>
        <v>0</v>
      </c>
      <c r="AL27" s="113"/>
      <c r="AM27" s="113"/>
      <c r="AN27" s="113">
        <v>3158</v>
      </c>
      <c r="AO27" s="113"/>
      <c r="AP27" s="113"/>
      <c r="AQ27" s="113"/>
      <c r="AR27" s="113"/>
      <c r="AS27" s="113"/>
      <c r="AT27" s="113"/>
      <c r="AU27" s="113">
        <f t="shared" si="7"/>
        <v>0</v>
      </c>
      <c r="AV27" s="113">
        <f t="shared" si="8"/>
        <v>0</v>
      </c>
      <c r="AW27" s="113">
        <f t="shared" si="9"/>
        <v>3158</v>
      </c>
      <c r="AX27" s="94" t="s">
        <v>409</v>
      </c>
    </row>
    <row r="28" spans="1:50" s="114" customFormat="1" ht="90" x14ac:dyDescent="0.35">
      <c r="A28" s="125">
        <v>13</v>
      </c>
      <c r="B28" s="94" t="s">
        <v>404</v>
      </c>
      <c r="C28" s="97">
        <f t="shared" si="10"/>
        <v>4690</v>
      </c>
      <c r="D28" s="128"/>
      <c r="E28" s="128"/>
      <c r="F28" s="128">
        <v>4690</v>
      </c>
      <c r="G28" s="126"/>
      <c r="H28" s="94" t="s">
        <v>408</v>
      </c>
      <c r="I28" s="94" t="s">
        <v>49</v>
      </c>
      <c r="J28" s="125"/>
      <c r="K28" s="112"/>
      <c r="L28" s="112"/>
      <c r="M28" s="112"/>
      <c r="N28" s="112"/>
      <c r="O28" s="112"/>
      <c r="P28" s="113">
        <f t="shared" si="11"/>
        <v>0</v>
      </c>
      <c r="Q28" s="113">
        <f t="shared" si="12"/>
        <v>0</v>
      </c>
      <c r="R28" s="113"/>
      <c r="S28" s="113"/>
      <c r="T28" s="113"/>
      <c r="U28" s="113"/>
      <c r="V28" s="113"/>
      <c r="W28" s="113"/>
      <c r="X28" s="113">
        <f t="shared" si="13"/>
        <v>0</v>
      </c>
      <c r="Y28" s="113">
        <f t="shared" si="14"/>
        <v>0</v>
      </c>
      <c r="Z28" s="84"/>
      <c r="AA28" s="113"/>
      <c r="AB28" s="113"/>
      <c r="AC28" s="113"/>
      <c r="AD28" s="113"/>
      <c r="AE28" s="113"/>
      <c r="AF28" s="113"/>
      <c r="AG28" s="113"/>
      <c r="AH28" s="113"/>
      <c r="AI28" s="113">
        <f t="shared" si="15"/>
        <v>0</v>
      </c>
      <c r="AJ28" s="113">
        <f t="shared" si="16"/>
        <v>0</v>
      </c>
      <c r="AK28" s="113">
        <f t="shared" si="17"/>
        <v>0</v>
      </c>
      <c r="AL28" s="113"/>
      <c r="AM28" s="113"/>
      <c r="AN28" s="113">
        <v>4203.8</v>
      </c>
      <c r="AO28" s="113"/>
      <c r="AP28" s="113"/>
      <c r="AQ28" s="113"/>
      <c r="AR28" s="113"/>
      <c r="AS28" s="113"/>
      <c r="AT28" s="113"/>
      <c r="AU28" s="113">
        <f t="shared" si="7"/>
        <v>0</v>
      </c>
      <c r="AV28" s="113">
        <f t="shared" si="8"/>
        <v>0</v>
      </c>
      <c r="AW28" s="113">
        <f t="shared" si="9"/>
        <v>4203.8</v>
      </c>
      <c r="AX28" s="94" t="s">
        <v>409</v>
      </c>
    </row>
    <row r="29" spans="1:50" s="114" customFormat="1" ht="90" x14ac:dyDescent="0.35">
      <c r="A29" s="125">
        <v>14</v>
      </c>
      <c r="B29" s="94" t="s">
        <v>405</v>
      </c>
      <c r="C29" s="97">
        <f t="shared" si="10"/>
        <v>4570</v>
      </c>
      <c r="D29" s="128"/>
      <c r="E29" s="128"/>
      <c r="F29" s="128">
        <v>4570</v>
      </c>
      <c r="G29" s="126"/>
      <c r="H29" s="94" t="s">
        <v>408</v>
      </c>
      <c r="I29" s="94" t="s">
        <v>49</v>
      </c>
      <c r="J29" s="125"/>
      <c r="K29" s="112"/>
      <c r="L29" s="112"/>
      <c r="M29" s="112"/>
      <c r="N29" s="112"/>
      <c r="O29" s="112"/>
      <c r="P29" s="113">
        <f t="shared" si="11"/>
        <v>0</v>
      </c>
      <c r="Q29" s="113">
        <f t="shared" si="12"/>
        <v>0</v>
      </c>
      <c r="R29" s="113"/>
      <c r="S29" s="113"/>
      <c r="T29" s="113"/>
      <c r="U29" s="113"/>
      <c r="V29" s="113"/>
      <c r="W29" s="113"/>
      <c r="X29" s="113">
        <f t="shared" si="13"/>
        <v>0</v>
      </c>
      <c r="Y29" s="113">
        <f t="shared" si="14"/>
        <v>0</v>
      </c>
      <c r="Z29" s="84"/>
      <c r="AA29" s="113"/>
      <c r="AB29" s="113"/>
      <c r="AC29" s="113"/>
      <c r="AD29" s="113"/>
      <c r="AE29" s="113"/>
      <c r="AF29" s="113"/>
      <c r="AG29" s="140"/>
      <c r="AH29" s="113">
        <v>3700</v>
      </c>
      <c r="AI29" s="113">
        <f t="shared" si="15"/>
        <v>0</v>
      </c>
      <c r="AJ29" s="113">
        <f t="shared" si="16"/>
        <v>0</v>
      </c>
      <c r="AK29" s="113">
        <f t="shared" si="17"/>
        <v>3700</v>
      </c>
      <c r="AL29" s="113"/>
      <c r="AM29" s="113"/>
      <c r="AN29" s="113"/>
      <c r="AO29" s="113"/>
      <c r="AP29" s="113"/>
      <c r="AQ29" s="113"/>
      <c r="AR29" s="113"/>
      <c r="AS29" s="113"/>
      <c r="AT29" s="113"/>
      <c r="AU29" s="113">
        <f t="shared" si="7"/>
        <v>0</v>
      </c>
      <c r="AV29" s="113">
        <f t="shared" si="8"/>
        <v>0</v>
      </c>
      <c r="AW29" s="113">
        <f t="shared" si="9"/>
        <v>0</v>
      </c>
      <c r="AX29" s="94" t="s">
        <v>409</v>
      </c>
    </row>
    <row r="30" spans="1:50" s="119" customFormat="1" ht="21" customHeight="1" x14ac:dyDescent="0.35">
      <c r="A30" s="134"/>
      <c r="B30" s="134" t="s">
        <v>13</v>
      </c>
      <c r="C30" s="135">
        <f>D30+E30+F30+G30</f>
        <v>696206</v>
      </c>
      <c r="D30" s="135">
        <f>SUM(D16:D29)</f>
        <v>244986</v>
      </c>
      <c r="E30" s="135">
        <f t="shared" ref="E30:G30" si="18">SUM(E16:E29)</f>
        <v>431220</v>
      </c>
      <c r="F30" s="135">
        <f t="shared" si="18"/>
        <v>20000</v>
      </c>
      <c r="G30" s="135">
        <f t="shared" si="18"/>
        <v>0</v>
      </c>
      <c r="H30" s="134"/>
      <c r="I30" s="134"/>
      <c r="J30" s="117">
        <f>SUM(J16:J29)</f>
        <v>14560</v>
      </c>
      <c r="K30" s="117">
        <f t="shared" ref="K30:AK30" si="19">SUM(K16:K29)</f>
        <v>25100</v>
      </c>
      <c r="L30" s="117">
        <f t="shared" si="19"/>
        <v>14560</v>
      </c>
      <c r="M30" s="117">
        <f t="shared" si="19"/>
        <v>25100</v>
      </c>
      <c r="N30" s="117">
        <f t="shared" si="19"/>
        <v>22222</v>
      </c>
      <c r="O30" s="117">
        <f t="shared" si="19"/>
        <v>25100</v>
      </c>
      <c r="P30" s="117">
        <f t="shared" si="19"/>
        <v>51342</v>
      </c>
      <c r="Q30" s="117">
        <f t="shared" si="19"/>
        <v>75300</v>
      </c>
      <c r="R30" s="117">
        <f t="shared" si="19"/>
        <v>15888.5</v>
      </c>
      <c r="S30" s="117">
        <f t="shared" si="19"/>
        <v>25100</v>
      </c>
      <c r="T30" s="117">
        <f t="shared" si="19"/>
        <v>14760</v>
      </c>
      <c r="U30" s="117">
        <f t="shared" si="19"/>
        <v>25100</v>
      </c>
      <c r="V30" s="117">
        <f t="shared" si="19"/>
        <v>16663.699999999997</v>
      </c>
      <c r="W30" s="117">
        <f t="shared" si="19"/>
        <v>25100</v>
      </c>
      <c r="X30" s="117">
        <f t="shared" si="19"/>
        <v>47312.2</v>
      </c>
      <c r="Y30" s="117">
        <f t="shared" si="19"/>
        <v>75300</v>
      </c>
      <c r="Z30" s="117">
        <f t="shared" si="19"/>
        <v>20272.380000000005</v>
      </c>
      <c r="AA30" s="117">
        <f t="shared" si="19"/>
        <v>25100</v>
      </c>
      <c r="AB30" s="117">
        <f t="shared" si="19"/>
        <v>0</v>
      </c>
      <c r="AC30" s="117">
        <f t="shared" si="19"/>
        <v>19075.449999999997</v>
      </c>
      <c r="AD30" s="117">
        <f t="shared" si="19"/>
        <v>25100</v>
      </c>
      <c r="AE30" s="117">
        <f t="shared" si="19"/>
        <v>0</v>
      </c>
      <c r="AF30" s="117">
        <f t="shared" si="19"/>
        <v>19021.120000000014</v>
      </c>
      <c r="AG30" s="117">
        <f t="shared" si="19"/>
        <v>47265</v>
      </c>
      <c r="AH30" s="117">
        <f t="shared" si="19"/>
        <v>3700</v>
      </c>
      <c r="AI30" s="117">
        <f t="shared" si="19"/>
        <v>58368.950000000012</v>
      </c>
      <c r="AJ30" s="117">
        <f t="shared" si="19"/>
        <v>97465</v>
      </c>
      <c r="AK30" s="117">
        <f t="shared" si="19"/>
        <v>3700</v>
      </c>
      <c r="AL30" s="117">
        <f>SUM(AL16:AL29)</f>
        <v>20985.5</v>
      </c>
      <c r="AM30" s="117">
        <f t="shared" ref="AM30:AW30" si="20">SUM(AM16:AM29)</f>
        <v>42753.5</v>
      </c>
      <c r="AN30" s="117">
        <f t="shared" si="20"/>
        <v>13941.8</v>
      </c>
      <c r="AO30" s="117">
        <f t="shared" si="20"/>
        <v>20348.990000000002</v>
      </c>
      <c r="AP30" s="117">
        <f t="shared" si="20"/>
        <v>25100</v>
      </c>
      <c r="AQ30" s="117">
        <f t="shared" si="20"/>
        <v>0</v>
      </c>
      <c r="AR30" s="117">
        <f t="shared" si="20"/>
        <v>33153.649999999994</v>
      </c>
      <c r="AS30" s="117">
        <f t="shared" si="20"/>
        <v>96670</v>
      </c>
      <c r="AT30" s="117">
        <f t="shared" si="20"/>
        <v>0</v>
      </c>
      <c r="AU30" s="117">
        <f t="shared" si="20"/>
        <v>74488.14</v>
      </c>
      <c r="AV30" s="117">
        <f t="shared" si="20"/>
        <v>164523.5</v>
      </c>
      <c r="AW30" s="117">
        <f t="shared" si="20"/>
        <v>13941.8</v>
      </c>
    </row>
    <row r="31" spans="1:50" s="114" customFormat="1" ht="18" x14ac:dyDescent="0.35">
      <c r="A31" s="131"/>
      <c r="B31" s="131"/>
      <c r="C31" s="132"/>
      <c r="D31" s="132"/>
      <c r="E31" s="132"/>
      <c r="F31" s="132"/>
      <c r="G31" s="132"/>
      <c r="J31" s="131"/>
    </row>
    <row r="32" spans="1:50" s="114" customFormat="1" ht="18" x14ac:dyDescent="0.35">
      <c r="A32" s="131"/>
      <c r="B32" s="141"/>
      <c r="C32" s="132"/>
      <c r="D32" s="132"/>
      <c r="E32" s="132"/>
      <c r="F32" s="132"/>
      <c r="G32" s="131"/>
      <c r="J32" s="131"/>
    </row>
    <row r="33" spans="1:10" s="114" customFormat="1" ht="18" x14ac:dyDescent="0.35">
      <c r="A33" s="131"/>
      <c r="C33" s="131"/>
      <c r="D33" s="131"/>
      <c r="E33" s="131"/>
      <c r="F33" s="131"/>
      <c r="G33" s="131"/>
      <c r="J33" s="131"/>
    </row>
    <row r="34" spans="1:10" s="114" customFormat="1" ht="18" x14ac:dyDescent="0.35">
      <c r="A34" s="131"/>
      <c r="C34" s="131"/>
      <c r="D34" s="131"/>
      <c r="E34" s="131"/>
      <c r="F34" s="131"/>
      <c r="G34" s="131"/>
      <c r="J34" s="131"/>
    </row>
    <row r="35" spans="1:10" s="114" customFormat="1" ht="18" x14ac:dyDescent="0.35">
      <c r="A35" s="131"/>
      <c r="C35" s="131"/>
      <c r="D35" s="131"/>
      <c r="E35" s="131"/>
      <c r="F35" s="131"/>
      <c r="G35" s="131"/>
      <c r="J35" s="131"/>
    </row>
    <row r="36" spans="1:10" s="114" customFormat="1" ht="18" x14ac:dyDescent="0.35">
      <c r="A36" s="131"/>
      <c r="C36" s="131"/>
      <c r="D36" s="131"/>
      <c r="E36" s="131"/>
      <c r="F36" s="131"/>
      <c r="G36" s="131"/>
      <c r="J36" s="131"/>
    </row>
    <row r="38" spans="1:10" x14ac:dyDescent="0.3">
      <c r="J38" s="3"/>
    </row>
  </sheetData>
  <mergeCells count="41">
    <mergeCell ref="AL13:AW13"/>
    <mergeCell ref="AL14:AN14"/>
    <mergeCell ref="AO14:AQ14"/>
    <mergeCell ref="AR14:AT14"/>
    <mergeCell ref="AU14:AW14"/>
    <mergeCell ref="J13:Q13"/>
    <mergeCell ref="AX13:AX15"/>
    <mergeCell ref="J14:K14"/>
    <mergeCell ref="L14:M14"/>
    <mergeCell ref="N14:O14"/>
    <mergeCell ref="P14:Q14"/>
    <mergeCell ref="R13:Y13"/>
    <mergeCell ref="R14:S14"/>
    <mergeCell ref="T14:U14"/>
    <mergeCell ref="V14:W14"/>
    <mergeCell ref="X14:Y14"/>
    <mergeCell ref="Z13:AK13"/>
    <mergeCell ref="Z14:AB14"/>
    <mergeCell ref="AC14:AE14"/>
    <mergeCell ref="AF14:AH14"/>
    <mergeCell ref="AI14:AK14"/>
    <mergeCell ref="A1:I1"/>
    <mergeCell ref="B2:I2"/>
    <mergeCell ref="B3:I3"/>
    <mergeCell ref="B5:I5"/>
    <mergeCell ref="A6:I6"/>
    <mergeCell ref="I13:I15"/>
    <mergeCell ref="A7:G7"/>
    <mergeCell ref="B8:G8"/>
    <mergeCell ref="C13:C15"/>
    <mergeCell ref="D13:G13"/>
    <mergeCell ref="A13:A15"/>
    <mergeCell ref="B13:B15"/>
    <mergeCell ref="H13:H15"/>
    <mergeCell ref="A10:I10"/>
    <mergeCell ref="A9:H9"/>
    <mergeCell ref="B11:I11"/>
    <mergeCell ref="D14:D15"/>
    <mergeCell ref="E14:E15"/>
    <mergeCell ref="F14:F15"/>
    <mergeCell ref="G14:G15"/>
  </mergeCells>
  <pageMargins left="0.11811023622047245" right="0.31496062992125984" top="0.74803149606299213" bottom="0.15748031496062992" header="0.31496062992125984" footer="0.31496062992125984"/>
  <pageSetup scale="65" orientation="landscape" r:id="rId1"/>
  <rowBreaks count="1" manualBreakCount="1">
    <brk id="9" max="8"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25"/>
  <sheetViews>
    <sheetView topLeftCell="A92" zoomScale="70" zoomScaleNormal="70" workbookViewId="0">
      <selection activeCell="W6" sqref="W6"/>
    </sheetView>
  </sheetViews>
  <sheetFormatPr defaultRowHeight="15" x14ac:dyDescent="0.3"/>
  <cols>
    <col min="1" max="1" width="5.875" style="46" customWidth="1"/>
    <col min="2" max="2" width="66" style="45" customWidth="1"/>
    <col min="3" max="3" width="12.875" style="46" customWidth="1"/>
    <col min="4" max="4" width="13.5" style="46" customWidth="1"/>
    <col min="5" max="5" width="14.625" style="46" customWidth="1"/>
    <col min="6" max="7" width="11.25" style="46" customWidth="1"/>
    <col min="8" max="8" width="53.125" style="45" customWidth="1"/>
    <col min="9" max="9" width="28.375" style="45" customWidth="1"/>
    <col min="10" max="10" width="15.25" style="46" hidden="1" customWidth="1"/>
    <col min="11" max="11" width="12.875" style="45" hidden="1" customWidth="1"/>
    <col min="12" max="12" width="11.125" style="45" hidden="1" customWidth="1"/>
    <col min="13" max="21" width="15.75" style="45" hidden="1" customWidth="1"/>
    <col min="22" max="25" width="15.75" style="45" customWidth="1"/>
    <col min="26" max="26" width="30.25" style="45" customWidth="1"/>
    <col min="27" max="16384" width="9" style="45"/>
  </cols>
  <sheetData>
    <row r="1" spans="1:26" ht="36" customHeight="1" x14ac:dyDescent="0.3">
      <c r="A1" s="368" t="s">
        <v>61</v>
      </c>
      <c r="B1" s="368"/>
      <c r="C1" s="368"/>
      <c r="D1" s="368"/>
      <c r="E1" s="368"/>
      <c r="F1" s="368"/>
      <c r="G1" s="368"/>
      <c r="H1" s="368"/>
      <c r="I1" s="368"/>
    </row>
    <row r="2" spans="1:26" ht="51.75" customHeight="1" x14ac:dyDescent="0.3">
      <c r="A2" s="142"/>
      <c r="B2" s="351" t="s">
        <v>0</v>
      </c>
      <c r="C2" s="351"/>
      <c r="D2" s="351"/>
      <c r="E2" s="351"/>
      <c r="F2" s="351"/>
      <c r="G2" s="351"/>
      <c r="H2" s="351"/>
      <c r="I2" s="351"/>
    </row>
    <row r="3" spans="1:26" ht="41.25" customHeight="1" x14ac:dyDescent="0.3">
      <c r="A3" s="142"/>
      <c r="B3" s="369" t="s">
        <v>121</v>
      </c>
      <c r="C3" s="369"/>
      <c r="D3" s="369"/>
      <c r="E3" s="369"/>
      <c r="F3" s="369"/>
      <c r="G3" s="369"/>
      <c r="H3" s="369"/>
      <c r="I3" s="369"/>
    </row>
    <row r="4" spans="1:26" ht="9" customHeight="1" x14ac:dyDescent="0.3">
      <c r="A4" s="142"/>
      <c r="B4" s="143"/>
      <c r="C4" s="142"/>
      <c r="D4" s="142"/>
      <c r="E4" s="142"/>
      <c r="F4" s="142"/>
      <c r="G4" s="142"/>
      <c r="H4" s="143"/>
      <c r="I4" s="143"/>
    </row>
    <row r="5" spans="1:26" ht="79.5" customHeight="1" x14ac:dyDescent="0.3">
      <c r="A5" s="144"/>
      <c r="B5" s="297" t="s">
        <v>465</v>
      </c>
      <c r="C5" s="297"/>
      <c r="D5" s="297"/>
      <c r="E5" s="297"/>
      <c r="F5" s="297"/>
      <c r="G5" s="297"/>
      <c r="H5" s="297"/>
      <c r="I5" s="297"/>
    </row>
    <row r="6" spans="1:26" ht="63.75" customHeight="1" x14ac:dyDescent="0.3">
      <c r="A6" s="297" t="s">
        <v>466</v>
      </c>
      <c r="B6" s="297"/>
      <c r="C6" s="297"/>
      <c r="D6" s="297"/>
      <c r="E6" s="297"/>
      <c r="F6" s="297"/>
      <c r="G6" s="297"/>
      <c r="H6" s="297"/>
      <c r="I6" s="297"/>
    </row>
    <row r="7" spans="1:26" ht="30" customHeight="1" x14ac:dyDescent="0.3">
      <c r="A7" s="367" t="s">
        <v>35</v>
      </c>
      <c r="B7" s="367"/>
      <c r="C7" s="367"/>
      <c r="D7" s="367"/>
      <c r="E7" s="367"/>
      <c r="F7" s="367"/>
      <c r="G7" s="367"/>
      <c r="H7" s="146" t="s">
        <v>54</v>
      </c>
      <c r="I7" s="133"/>
    </row>
    <row r="8" spans="1:26" ht="34.5" customHeight="1" x14ac:dyDescent="0.3">
      <c r="A8" s="145"/>
      <c r="B8" s="367" t="s">
        <v>36</v>
      </c>
      <c r="C8" s="367"/>
      <c r="D8" s="367"/>
      <c r="E8" s="367"/>
      <c r="F8" s="367"/>
      <c r="G8" s="367"/>
      <c r="H8" s="145" t="s">
        <v>67</v>
      </c>
      <c r="I8" s="133"/>
    </row>
    <row r="9" spans="1:26" ht="15.75" customHeight="1" x14ac:dyDescent="0.3">
      <c r="A9" s="370"/>
      <c r="B9" s="370"/>
      <c r="C9" s="370"/>
      <c r="D9" s="370"/>
      <c r="E9" s="370"/>
      <c r="F9" s="370"/>
      <c r="G9" s="370"/>
      <c r="H9" s="370"/>
      <c r="I9" s="143"/>
    </row>
    <row r="10" spans="1:26" ht="23.25" customHeight="1" x14ac:dyDescent="0.3">
      <c r="A10" s="367" t="s">
        <v>6</v>
      </c>
      <c r="B10" s="367"/>
      <c r="C10" s="367"/>
      <c r="D10" s="367"/>
      <c r="E10" s="367"/>
      <c r="F10" s="367"/>
      <c r="G10" s="367"/>
      <c r="H10" s="367"/>
      <c r="I10" s="367"/>
    </row>
    <row r="11" spans="1:26" ht="9.75" customHeight="1" x14ac:dyDescent="0.3">
      <c r="A11" s="66"/>
      <c r="B11" s="66"/>
      <c r="C11" s="66"/>
      <c r="D11" s="66"/>
      <c r="E11" s="66"/>
      <c r="F11" s="66"/>
      <c r="G11" s="66"/>
      <c r="H11" s="66"/>
      <c r="I11" s="66"/>
    </row>
    <row r="12" spans="1:26" x14ac:dyDescent="0.3">
      <c r="H12" s="67"/>
      <c r="I12" s="67"/>
    </row>
    <row r="13" spans="1:26" s="111" customFormat="1" ht="40.5" customHeight="1" x14ac:dyDescent="0.25">
      <c r="A13" s="334" t="s">
        <v>1</v>
      </c>
      <c r="B13" s="365" t="s">
        <v>95</v>
      </c>
      <c r="C13" s="365" t="s">
        <v>2</v>
      </c>
      <c r="D13" s="371" t="s">
        <v>43</v>
      </c>
      <c r="E13" s="371"/>
      <c r="F13" s="371"/>
      <c r="G13" s="371"/>
      <c r="H13" s="365" t="s">
        <v>16</v>
      </c>
      <c r="I13" s="365" t="s">
        <v>3</v>
      </c>
      <c r="J13" s="320" t="s">
        <v>301</v>
      </c>
      <c r="K13" s="320"/>
      <c r="L13" s="320"/>
      <c r="M13" s="320"/>
      <c r="N13" s="326" t="s">
        <v>300</v>
      </c>
      <c r="O13" s="327"/>
      <c r="P13" s="327"/>
      <c r="Q13" s="328"/>
      <c r="R13" s="326" t="s">
        <v>366</v>
      </c>
      <c r="S13" s="327"/>
      <c r="T13" s="327"/>
      <c r="U13" s="328"/>
      <c r="V13" s="326" t="s">
        <v>414</v>
      </c>
      <c r="W13" s="327"/>
      <c r="X13" s="327"/>
      <c r="Y13" s="328"/>
      <c r="Z13" s="320" t="s">
        <v>288</v>
      </c>
    </row>
    <row r="14" spans="1:26" s="111" customFormat="1" ht="66.75" customHeight="1" x14ac:dyDescent="0.25">
      <c r="A14" s="336"/>
      <c r="B14" s="366"/>
      <c r="C14" s="366"/>
      <c r="D14" s="179" t="s">
        <v>7</v>
      </c>
      <c r="E14" s="179" t="s">
        <v>12</v>
      </c>
      <c r="F14" s="179" t="s">
        <v>40</v>
      </c>
      <c r="G14" s="179" t="s">
        <v>41</v>
      </c>
      <c r="H14" s="366"/>
      <c r="I14" s="366"/>
      <c r="J14" s="94" t="s">
        <v>285</v>
      </c>
      <c r="K14" s="94" t="s">
        <v>286</v>
      </c>
      <c r="L14" s="94" t="s">
        <v>287</v>
      </c>
      <c r="M14" s="94" t="s">
        <v>13</v>
      </c>
      <c r="N14" s="94" t="s">
        <v>297</v>
      </c>
      <c r="O14" s="94" t="s">
        <v>298</v>
      </c>
      <c r="P14" s="94" t="s">
        <v>299</v>
      </c>
      <c r="Q14" s="94" t="s">
        <v>13</v>
      </c>
      <c r="R14" s="94" t="s">
        <v>363</v>
      </c>
      <c r="S14" s="94" t="s">
        <v>364</v>
      </c>
      <c r="T14" s="94" t="s">
        <v>365</v>
      </c>
      <c r="U14" s="94" t="s">
        <v>13</v>
      </c>
      <c r="V14" s="94" t="s">
        <v>415</v>
      </c>
      <c r="W14" s="94" t="s">
        <v>416</v>
      </c>
      <c r="X14" s="94" t="s">
        <v>417</v>
      </c>
      <c r="Y14" s="94" t="s">
        <v>13</v>
      </c>
      <c r="Z14" s="320"/>
    </row>
    <row r="15" spans="1:26" s="114" customFormat="1" ht="74.25" customHeight="1" x14ac:dyDescent="0.35">
      <c r="A15" s="180">
        <v>1</v>
      </c>
      <c r="B15" s="372" t="s">
        <v>122</v>
      </c>
      <c r="C15" s="373"/>
      <c r="D15" s="373"/>
      <c r="E15" s="373"/>
      <c r="F15" s="373"/>
      <c r="G15" s="374"/>
      <c r="H15" s="334" t="s">
        <v>123</v>
      </c>
      <c r="I15" s="334" t="s">
        <v>124</v>
      </c>
      <c r="J15" s="125"/>
      <c r="K15" s="112"/>
      <c r="L15" s="112"/>
      <c r="M15" s="113">
        <f>J15+K15+L15</f>
        <v>0</v>
      </c>
      <c r="N15" s="113"/>
      <c r="O15" s="113"/>
      <c r="P15" s="113"/>
      <c r="Q15" s="113"/>
      <c r="R15" s="113"/>
      <c r="S15" s="113"/>
      <c r="T15" s="113"/>
      <c r="U15" s="113">
        <f>R15+S15+T15</f>
        <v>0</v>
      </c>
      <c r="V15" s="113"/>
      <c r="W15" s="113"/>
      <c r="X15" s="113"/>
      <c r="Y15" s="113">
        <f>V15+W15+X15</f>
        <v>0</v>
      </c>
      <c r="Z15" s="112"/>
    </row>
    <row r="16" spans="1:26" s="114" customFormat="1" ht="51.6" customHeight="1" x14ac:dyDescent="0.35">
      <c r="A16" s="125" t="s">
        <v>125</v>
      </c>
      <c r="B16" s="130" t="s">
        <v>126</v>
      </c>
      <c r="C16" s="97">
        <f>D16+E16+F16+G16</f>
        <v>5000</v>
      </c>
      <c r="D16" s="181">
        <v>5000</v>
      </c>
      <c r="E16" s="129"/>
      <c r="F16" s="129"/>
      <c r="G16" s="129"/>
      <c r="H16" s="335"/>
      <c r="I16" s="335"/>
      <c r="J16" s="125"/>
      <c r="K16" s="112"/>
      <c r="L16" s="112"/>
      <c r="M16" s="113">
        <f t="shared" ref="M16:M79" si="0">J16+K16+L16</f>
        <v>0</v>
      </c>
      <c r="N16" s="113"/>
      <c r="O16" s="113"/>
      <c r="P16" s="113"/>
      <c r="Q16" s="113">
        <f t="shared" ref="Q16:Q79" si="1">N16+O16+P16</f>
        <v>0</v>
      </c>
      <c r="R16" s="113"/>
      <c r="S16" s="113"/>
      <c r="T16" s="113"/>
      <c r="U16" s="113">
        <f t="shared" ref="U16:U79" si="2">R16+S16+T16</f>
        <v>0</v>
      </c>
      <c r="V16" s="113"/>
      <c r="W16" s="113"/>
      <c r="X16" s="113"/>
      <c r="Y16" s="113">
        <f t="shared" ref="Y16:Y79" si="3">V16+W16+X16</f>
        <v>0</v>
      </c>
      <c r="Z16" s="112"/>
    </row>
    <row r="17" spans="1:26" s="114" customFormat="1" ht="36.950000000000003" customHeight="1" x14ac:dyDescent="0.35">
      <c r="A17" s="125" t="s">
        <v>127</v>
      </c>
      <c r="B17" s="126" t="s">
        <v>128</v>
      </c>
      <c r="C17" s="97">
        <f t="shared" ref="C17:C19" si="4">D17+E17+F17+G17</f>
        <v>5000</v>
      </c>
      <c r="D17" s="181">
        <v>5000</v>
      </c>
      <c r="E17" s="129"/>
      <c r="F17" s="129"/>
      <c r="G17" s="128"/>
      <c r="H17" s="335"/>
      <c r="I17" s="335"/>
      <c r="J17" s="125"/>
      <c r="K17" s="112"/>
      <c r="L17" s="112"/>
      <c r="M17" s="113">
        <f t="shared" si="0"/>
        <v>0</v>
      </c>
      <c r="N17" s="113"/>
      <c r="O17" s="113"/>
      <c r="P17" s="113"/>
      <c r="Q17" s="113">
        <f t="shared" si="1"/>
        <v>0</v>
      </c>
      <c r="R17" s="182">
        <v>322</v>
      </c>
      <c r="S17" s="182">
        <f>14+234</f>
        <v>248</v>
      </c>
      <c r="T17" s="182">
        <v>518.4</v>
      </c>
      <c r="U17" s="113">
        <f t="shared" si="2"/>
        <v>1088.4000000000001</v>
      </c>
      <c r="V17" s="113"/>
      <c r="W17" s="113"/>
      <c r="X17" s="84">
        <v>732.00000000000011</v>
      </c>
      <c r="Y17" s="113">
        <f t="shared" si="3"/>
        <v>732.00000000000011</v>
      </c>
      <c r="Z17" s="94" t="s">
        <v>351</v>
      </c>
    </row>
    <row r="18" spans="1:26" s="114" customFormat="1" ht="40.5" customHeight="1" thickBot="1" x14ac:dyDescent="0.4">
      <c r="A18" s="183" t="s">
        <v>129</v>
      </c>
      <c r="B18" s="184" t="s">
        <v>130</v>
      </c>
      <c r="C18" s="185">
        <f>D18+E18+F18+G18</f>
        <v>10000</v>
      </c>
      <c r="D18" s="186">
        <v>10000</v>
      </c>
      <c r="E18" s="187"/>
      <c r="F18" s="187"/>
      <c r="G18" s="188"/>
      <c r="H18" s="335"/>
      <c r="I18" s="335"/>
      <c r="J18" s="125"/>
      <c r="K18" s="112"/>
      <c r="L18" s="112"/>
      <c r="M18" s="113">
        <f t="shared" si="0"/>
        <v>0</v>
      </c>
      <c r="N18" s="113"/>
      <c r="O18" s="113"/>
      <c r="P18" s="113"/>
      <c r="Q18" s="113">
        <f t="shared" si="1"/>
        <v>0</v>
      </c>
      <c r="R18" s="113"/>
      <c r="S18" s="182">
        <v>1365</v>
      </c>
      <c r="T18" s="182">
        <v>6100</v>
      </c>
      <c r="U18" s="113">
        <f t="shared" si="2"/>
        <v>7465</v>
      </c>
      <c r="V18" s="113"/>
      <c r="W18" s="113"/>
      <c r="X18" s="84">
        <v>1358</v>
      </c>
      <c r="Y18" s="113">
        <f t="shared" si="3"/>
        <v>1358</v>
      </c>
      <c r="Z18" s="94" t="s">
        <v>448</v>
      </c>
    </row>
    <row r="19" spans="1:26" s="114" customFormat="1" ht="47.25" customHeight="1" x14ac:dyDescent="0.35">
      <c r="A19" s="189"/>
      <c r="B19" s="190" t="s">
        <v>13</v>
      </c>
      <c r="C19" s="191">
        <f t="shared" si="4"/>
        <v>20000</v>
      </c>
      <c r="D19" s="192">
        <f>SUM(D16:D18)</f>
        <v>20000</v>
      </c>
      <c r="E19" s="193"/>
      <c r="F19" s="193"/>
      <c r="G19" s="193"/>
      <c r="H19" s="336"/>
      <c r="I19" s="336"/>
      <c r="J19" s="125"/>
      <c r="K19" s="112"/>
      <c r="L19" s="112"/>
      <c r="M19" s="113">
        <f t="shared" si="0"/>
        <v>0</v>
      </c>
      <c r="N19" s="113"/>
      <c r="O19" s="113"/>
      <c r="P19" s="113"/>
      <c r="Q19" s="113">
        <f t="shared" si="1"/>
        <v>0</v>
      </c>
      <c r="R19" s="113"/>
      <c r="S19" s="113"/>
      <c r="T19" s="113"/>
      <c r="U19" s="113">
        <f t="shared" si="2"/>
        <v>0</v>
      </c>
      <c r="V19" s="113"/>
      <c r="W19" s="113"/>
      <c r="X19" s="113"/>
      <c r="Y19" s="113">
        <f t="shared" si="3"/>
        <v>0</v>
      </c>
      <c r="Z19" s="112"/>
    </row>
    <row r="20" spans="1:26" s="114" customFormat="1" ht="67.5" customHeight="1" x14ac:dyDescent="0.35">
      <c r="A20" s="180">
        <v>2</v>
      </c>
      <c r="B20" s="375" t="s">
        <v>347</v>
      </c>
      <c r="C20" s="376"/>
      <c r="D20" s="376"/>
      <c r="E20" s="376"/>
      <c r="F20" s="376"/>
      <c r="G20" s="377"/>
      <c r="H20" s="334" t="s">
        <v>131</v>
      </c>
      <c r="I20" s="334" t="s">
        <v>124</v>
      </c>
      <c r="J20" s="125"/>
      <c r="K20" s="112"/>
      <c r="L20" s="112"/>
      <c r="M20" s="113">
        <f t="shared" si="0"/>
        <v>0</v>
      </c>
      <c r="N20" s="113"/>
      <c r="O20" s="113"/>
      <c r="P20" s="113"/>
      <c r="Q20" s="113"/>
      <c r="R20" s="113"/>
      <c r="S20" s="113"/>
      <c r="T20" s="113"/>
      <c r="U20" s="113">
        <f t="shared" si="2"/>
        <v>0</v>
      </c>
      <c r="V20" s="113"/>
      <c r="W20" s="113"/>
      <c r="X20" s="113"/>
      <c r="Y20" s="113">
        <f t="shared" si="3"/>
        <v>0</v>
      </c>
      <c r="Z20" s="112"/>
    </row>
    <row r="21" spans="1:26" s="114" customFormat="1" ht="56.25" customHeight="1" x14ac:dyDescent="0.35">
      <c r="A21" s="194" t="s">
        <v>132</v>
      </c>
      <c r="B21" s="130" t="s">
        <v>126</v>
      </c>
      <c r="C21" s="97">
        <f t="shared" ref="C21:C50" si="5">D21+E21+F21+G21</f>
        <v>3988</v>
      </c>
      <c r="D21" s="181">
        <f>4000-12</f>
        <v>3988</v>
      </c>
      <c r="E21" s="129"/>
      <c r="F21" s="129"/>
      <c r="G21" s="129"/>
      <c r="H21" s="335"/>
      <c r="I21" s="335"/>
      <c r="J21" s="195"/>
      <c r="K21" s="112"/>
      <c r="L21" s="112"/>
      <c r="M21" s="113">
        <f t="shared" si="0"/>
        <v>0</v>
      </c>
      <c r="N21" s="113"/>
      <c r="O21" s="113"/>
      <c r="P21" s="84">
        <v>2000</v>
      </c>
      <c r="Q21" s="113">
        <f t="shared" si="1"/>
        <v>2000</v>
      </c>
      <c r="R21" s="113"/>
      <c r="S21" s="113"/>
      <c r="T21" s="113"/>
      <c r="U21" s="113">
        <f t="shared" si="2"/>
        <v>0</v>
      </c>
      <c r="V21" s="113"/>
      <c r="W21" s="113"/>
      <c r="X21" s="84">
        <v>1988</v>
      </c>
      <c r="Y21" s="113">
        <f t="shared" si="3"/>
        <v>1988</v>
      </c>
      <c r="Z21" s="94" t="s">
        <v>348</v>
      </c>
    </row>
    <row r="22" spans="1:26" s="114" customFormat="1" ht="56.25" customHeight="1" x14ac:dyDescent="0.35">
      <c r="A22" s="194" t="s">
        <v>133</v>
      </c>
      <c r="B22" s="126" t="s">
        <v>14</v>
      </c>
      <c r="C22" s="97">
        <f t="shared" si="5"/>
        <v>540</v>
      </c>
      <c r="D22" s="181">
        <v>540</v>
      </c>
      <c r="E22" s="129"/>
      <c r="F22" s="129"/>
      <c r="G22" s="129"/>
      <c r="H22" s="335"/>
      <c r="I22" s="335"/>
      <c r="J22" s="125"/>
      <c r="K22" s="112"/>
      <c r="L22" s="112"/>
      <c r="M22" s="113">
        <f t="shared" si="0"/>
        <v>0</v>
      </c>
      <c r="N22" s="113"/>
      <c r="O22" s="84">
        <v>260</v>
      </c>
      <c r="P22" s="84">
        <v>120</v>
      </c>
      <c r="Q22" s="113">
        <f t="shared" si="1"/>
        <v>380</v>
      </c>
      <c r="R22" s="113"/>
      <c r="S22" s="113"/>
      <c r="T22" s="113"/>
      <c r="U22" s="113">
        <f t="shared" si="2"/>
        <v>0</v>
      </c>
      <c r="V22" s="113"/>
      <c r="W22" s="84">
        <v>392</v>
      </c>
      <c r="X22" s="84">
        <v>382</v>
      </c>
      <c r="Y22" s="113">
        <f t="shared" si="3"/>
        <v>774</v>
      </c>
      <c r="Z22" s="94" t="s">
        <v>349</v>
      </c>
    </row>
    <row r="23" spans="1:26" s="114" customFormat="1" ht="56.25" customHeight="1" x14ac:dyDescent="0.35">
      <c r="A23" s="125" t="s">
        <v>134</v>
      </c>
      <c r="B23" s="126" t="s">
        <v>135</v>
      </c>
      <c r="C23" s="97">
        <f t="shared" si="5"/>
        <v>1800</v>
      </c>
      <c r="D23" s="181">
        <f>1880-80</f>
        <v>1800</v>
      </c>
      <c r="E23" s="129"/>
      <c r="F23" s="129"/>
      <c r="G23" s="129"/>
      <c r="H23" s="335"/>
      <c r="I23" s="335"/>
      <c r="J23" s="195"/>
      <c r="K23" s="112"/>
      <c r="L23" s="125">
        <v>1800</v>
      </c>
      <c r="M23" s="113">
        <f t="shared" si="0"/>
        <v>1800</v>
      </c>
      <c r="N23" s="113"/>
      <c r="O23" s="113"/>
      <c r="P23" s="113"/>
      <c r="Q23" s="113">
        <f t="shared" si="1"/>
        <v>0</v>
      </c>
      <c r="R23" s="113"/>
      <c r="S23" s="113"/>
      <c r="T23" s="113"/>
      <c r="U23" s="113">
        <f t="shared" si="2"/>
        <v>0</v>
      </c>
      <c r="V23" s="113"/>
      <c r="W23" s="113"/>
      <c r="X23" s="113"/>
      <c r="Y23" s="113">
        <f t="shared" si="3"/>
        <v>0</v>
      </c>
      <c r="Z23" s="94" t="s">
        <v>291</v>
      </c>
    </row>
    <row r="24" spans="1:26" s="114" customFormat="1" ht="56.25" customHeight="1" x14ac:dyDescent="0.35">
      <c r="A24" s="125" t="s">
        <v>136</v>
      </c>
      <c r="B24" s="126" t="s">
        <v>137</v>
      </c>
      <c r="C24" s="97">
        <f t="shared" si="5"/>
        <v>2700</v>
      </c>
      <c r="D24" s="181">
        <v>2700</v>
      </c>
      <c r="E24" s="129"/>
      <c r="F24" s="129"/>
      <c r="G24" s="129"/>
      <c r="H24" s="335"/>
      <c r="I24" s="335"/>
      <c r="J24" s="125"/>
      <c r="K24" s="112"/>
      <c r="L24" s="125"/>
      <c r="M24" s="113">
        <f t="shared" si="0"/>
        <v>0</v>
      </c>
      <c r="N24" s="113"/>
      <c r="O24" s="113"/>
      <c r="P24" s="113"/>
      <c r="Q24" s="113">
        <f t="shared" si="1"/>
        <v>0</v>
      </c>
      <c r="R24" s="113"/>
      <c r="S24" s="113"/>
      <c r="T24" s="113"/>
      <c r="U24" s="113">
        <f t="shared" si="2"/>
        <v>0</v>
      </c>
      <c r="V24" s="113"/>
      <c r="W24" s="113"/>
      <c r="X24" s="113"/>
      <c r="Y24" s="113">
        <f t="shared" si="3"/>
        <v>0</v>
      </c>
      <c r="Z24" s="112"/>
    </row>
    <row r="25" spans="1:26" s="114" customFormat="1" ht="56.25" customHeight="1" thickBot="1" x14ac:dyDescent="0.4">
      <c r="A25" s="125" t="s">
        <v>138</v>
      </c>
      <c r="B25" s="184" t="s">
        <v>139</v>
      </c>
      <c r="C25" s="185">
        <f t="shared" si="5"/>
        <v>942</v>
      </c>
      <c r="D25" s="186">
        <f>850+12+80</f>
        <v>942</v>
      </c>
      <c r="E25" s="187"/>
      <c r="F25" s="187"/>
      <c r="G25" s="188"/>
      <c r="H25" s="335"/>
      <c r="I25" s="335"/>
      <c r="J25" s="195"/>
      <c r="K25" s="112"/>
      <c r="L25" s="112"/>
      <c r="M25" s="113">
        <f t="shared" si="0"/>
        <v>0</v>
      </c>
      <c r="N25" s="113"/>
      <c r="O25" s="113"/>
      <c r="P25" s="113">
        <f>60+9</f>
        <v>69</v>
      </c>
      <c r="Q25" s="113">
        <f t="shared" si="1"/>
        <v>69</v>
      </c>
      <c r="R25" s="113">
        <v>89</v>
      </c>
      <c r="S25" s="113"/>
      <c r="T25" s="113"/>
      <c r="U25" s="113">
        <f t="shared" si="2"/>
        <v>89</v>
      </c>
      <c r="V25" s="113"/>
      <c r="W25" s="113"/>
      <c r="X25" s="113"/>
      <c r="Y25" s="113">
        <f t="shared" si="3"/>
        <v>0</v>
      </c>
      <c r="Z25" s="94" t="s">
        <v>351</v>
      </c>
    </row>
    <row r="26" spans="1:26" s="114" customFormat="1" ht="42.95" customHeight="1" x14ac:dyDescent="0.35">
      <c r="A26" s="189"/>
      <c r="B26" s="190" t="s">
        <v>13</v>
      </c>
      <c r="C26" s="196">
        <f t="shared" si="5"/>
        <v>9970</v>
      </c>
      <c r="D26" s="192">
        <f>SUM(D21:D25)</f>
        <v>9970</v>
      </c>
      <c r="E26" s="193"/>
      <c r="F26" s="193"/>
      <c r="G26" s="193"/>
      <c r="H26" s="336"/>
      <c r="I26" s="336"/>
      <c r="J26" s="125"/>
      <c r="K26" s="112"/>
      <c r="L26" s="112"/>
      <c r="M26" s="113">
        <f t="shared" si="0"/>
        <v>0</v>
      </c>
      <c r="N26" s="113"/>
      <c r="O26" s="113"/>
      <c r="P26" s="113"/>
      <c r="Q26" s="113">
        <f t="shared" si="1"/>
        <v>0</v>
      </c>
      <c r="R26" s="113"/>
      <c r="S26" s="113"/>
      <c r="T26" s="113"/>
      <c r="U26" s="113">
        <f t="shared" si="2"/>
        <v>0</v>
      </c>
      <c r="V26" s="113"/>
      <c r="W26" s="113"/>
      <c r="X26" s="113"/>
      <c r="Y26" s="113">
        <f t="shared" si="3"/>
        <v>0</v>
      </c>
      <c r="Z26" s="112"/>
    </row>
    <row r="27" spans="1:26" s="114" customFormat="1" ht="69.75" customHeight="1" x14ac:dyDescent="0.35">
      <c r="A27" s="180">
        <v>3</v>
      </c>
      <c r="B27" s="375" t="s">
        <v>270</v>
      </c>
      <c r="C27" s="376"/>
      <c r="D27" s="376"/>
      <c r="E27" s="376"/>
      <c r="F27" s="376"/>
      <c r="G27" s="377"/>
      <c r="H27" s="334" t="s">
        <v>140</v>
      </c>
      <c r="I27" s="334" t="s">
        <v>124</v>
      </c>
      <c r="J27" s="125"/>
      <c r="K27" s="112"/>
      <c r="L27" s="112"/>
      <c r="M27" s="113">
        <f t="shared" si="0"/>
        <v>0</v>
      </c>
      <c r="N27" s="113"/>
      <c r="O27" s="113"/>
      <c r="P27" s="113"/>
      <c r="Q27" s="113"/>
      <c r="R27" s="113"/>
      <c r="S27" s="113"/>
      <c r="T27" s="113"/>
      <c r="U27" s="113">
        <f t="shared" si="2"/>
        <v>0</v>
      </c>
      <c r="V27" s="113"/>
      <c r="W27" s="113"/>
      <c r="X27" s="113"/>
      <c r="Y27" s="113">
        <f t="shared" si="3"/>
        <v>0</v>
      </c>
      <c r="Z27" s="112"/>
    </row>
    <row r="28" spans="1:26" s="114" customFormat="1" ht="42.95" customHeight="1" x14ac:dyDescent="0.35">
      <c r="A28" s="125" t="s">
        <v>141</v>
      </c>
      <c r="B28" s="130" t="s">
        <v>126</v>
      </c>
      <c r="C28" s="97">
        <f t="shared" si="5"/>
        <v>3000</v>
      </c>
      <c r="D28" s="181">
        <v>3000</v>
      </c>
      <c r="E28" s="129"/>
      <c r="F28" s="197"/>
      <c r="G28" s="129"/>
      <c r="H28" s="335"/>
      <c r="I28" s="335"/>
      <c r="J28" s="125"/>
      <c r="K28" s="112"/>
      <c r="L28" s="112"/>
      <c r="M28" s="113">
        <f t="shared" si="0"/>
        <v>0</v>
      </c>
      <c r="N28" s="113"/>
      <c r="O28" s="113"/>
      <c r="P28" s="113"/>
      <c r="Q28" s="113">
        <f t="shared" si="1"/>
        <v>0</v>
      </c>
      <c r="R28" s="113"/>
      <c r="S28" s="113">
        <v>1500</v>
      </c>
      <c r="T28" s="113"/>
      <c r="U28" s="113">
        <f t="shared" si="2"/>
        <v>1500</v>
      </c>
      <c r="V28" s="113"/>
      <c r="W28" s="84">
        <v>1500</v>
      </c>
      <c r="X28" s="113"/>
      <c r="Y28" s="113">
        <f t="shared" si="3"/>
        <v>1500</v>
      </c>
      <c r="Z28" s="94" t="s">
        <v>348</v>
      </c>
    </row>
    <row r="29" spans="1:26" s="114" customFormat="1" ht="42.95" customHeight="1" x14ac:dyDescent="0.35">
      <c r="A29" s="125" t="s">
        <v>142</v>
      </c>
      <c r="B29" s="126" t="s">
        <v>143</v>
      </c>
      <c r="C29" s="97">
        <f t="shared" si="5"/>
        <v>900</v>
      </c>
      <c r="D29" s="181">
        <v>900</v>
      </c>
      <c r="E29" s="129"/>
      <c r="F29" s="129"/>
      <c r="G29" s="129"/>
      <c r="H29" s="335"/>
      <c r="I29" s="335"/>
      <c r="J29" s="125"/>
      <c r="K29" s="112"/>
      <c r="L29" s="112"/>
      <c r="M29" s="113">
        <f t="shared" si="0"/>
        <v>0</v>
      </c>
      <c r="N29" s="113"/>
      <c r="O29" s="113"/>
      <c r="P29" s="113"/>
      <c r="Q29" s="113">
        <f t="shared" si="1"/>
        <v>0</v>
      </c>
      <c r="R29" s="113"/>
      <c r="S29" s="113"/>
      <c r="T29" s="113"/>
      <c r="U29" s="113">
        <f t="shared" si="2"/>
        <v>0</v>
      </c>
      <c r="V29" s="113"/>
      <c r="W29" s="113"/>
      <c r="X29" s="113"/>
      <c r="Y29" s="113">
        <f t="shared" si="3"/>
        <v>0</v>
      </c>
      <c r="Z29" s="112"/>
    </row>
    <row r="30" spans="1:26" s="114" customFormat="1" ht="42.95" customHeight="1" x14ac:dyDescent="0.35">
      <c r="A30" s="125" t="s">
        <v>144</v>
      </c>
      <c r="B30" s="126" t="s">
        <v>145</v>
      </c>
      <c r="C30" s="97">
        <f t="shared" si="5"/>
        <v>900</v>
      </c>
      <c r="D30" s="181">
        <v>900</v>
      </c>
      <c r="E30" s="129"/>
      <c r="F30" s="129"/>
      <c r="G30" s="128"/>
      <c r="H30" s="335"/>
      <c r="I30" s="335"/>
      <c r="J30" s="125"/>
      <c r="K30" s="112"/>
      <c r="L30" s="112"/>
      <c r="M30" s="113">
        <f t="shared" si="0"/>
        <v>0</v>
      </c>
      <c r="N30" s="113"/>
      <c r="O30" s="113"/>
      <c r="P30" s="113"/>
      <c r="Q30" s="113">
        <f t="shared" si="1"/>
        <v>0</v>
      </c>
      <c r="R30" s="113"/>
      <c r="S30" s="113"/>
      <c r="T30" s="113"/>
      <c r="U30" s="113">
        <f t="shared" si="2"/>
        <v>0</v>
      </c>
      <c r="V30" s="113"/>
      <c r="W30" s="113"/>
      <c r="X30" s="84">
        <v>502.31</v>
      </c>
      <c r="Y30" s="113">
        <f t="shared" si="3"/>
        <v>502.31</v>
      </c>
      <c r="Z30" s="94" t="s">
        <v>441</v>
      </c>
    </row>
    <row r="31" spans="1:26" s="114" customFormat="1" ht="101.25" customHeight="1" thickBot="1" x14ac:dyDescent="0.4">
      <c r="A31" s="183" t="s">
        <v>146</v>
      </c>
      <c r="B31" s="184" t="s">
        <v>147</v>
      </c>
      <c r="C31" s="185">
        <f t="shared" si="5"/>
        <v>15200</v>
      </c>
      <c r="D31" s="186">
        <v>15200</v>
      </c>
      <c r="E31" s="187"/>
      <c r="F31" s="187"/>
      <c r="G31" s="188"/>
      <c r="H31" s="335"/>
      <c r="I31" s="335"/>
      <c r="J31" s="125"/>
      <c r="K31" s="112"/>
      <c r="L31" s="112"/>
      <c r="M31" s="113">
        <f t="shared" si="0"/>
        <v>0</v>
      </c>
      <c r="N31" s="113"/>
      <c r="O31" s="113"/>
      <c r="P31" s="113"/>
      <c r="Q31" s="113">
        <f t="shared" si="1"/>
        <v>0</v>
      </c>
      <c r="R31" s="113"/>
      <c r="S31" s="113"/>
      <c r="T31" s="113"/>
      <c r="U31" s="113">
        <f t="shared" si="2"/>
        <v>0</v>
      </c>
      <c r="V31" s="113"/>
      <c r="W31" s="84">
        <v>14800</v>
      </c>
      <c r="X31" s="113"/>
      <c r="Y31" s="113">
        <f t="shared" si="3"/>
        <v>14800</v>
      </c>
      <c r="Z31" s="94" t="s">
        <v>440</v>
      </c>
    </row>
    <row r="32" spans="1:26" s="114" customFormat="1" ht="42.95" customHeight="1" x14ac:dyDescent="0.35">
      <c r="A32" s="189"/>
      <c r="B32" s="190" t="s">
        <v>13</v>
      </c>
      <c r="C32" s="196">
        <f t="shared" si="5"/>
        <v>20000</v>
      </c>
      <c r="D32" s="192">
        <f>SUM(D28:D31)</f>
        <v>20000</v>
      </c>
      <c r="E32" s="193"/>
      <c r="F32" s="193"/>
      <c r="G32" s="193"/>
      <c r="H32" s="336"/>
      <c r="I32" s="336"/>
      <c r="J32" s="125"/>
      <c r="K32" s="112"/>
      <c r="L32" s="112"/>
      <c r="M32" s="113">
        <f t="shared" si="0"/>
        <v>0</v>
      </c>
      <c r="N32" s="113"/>
      <c r="O32" s="113"/>
      <c r="P32" s="113"/>
      <c r="Q32" s="113">
        <f t="shared" si="1"/>
        <v>0</v>
      </c>
      <c r="R32" s="113"/>
      <c r="S32" s="113"/>
      <c r="T32" s="113"/>
      <c r="U32" s="113">
        <f t="shared" si="2"/>
        <v>0</v>
      </c>
      <c r="V32" s="113"/>
      <c r="W32" s="113"/>
      <c r="X32" s="113"/>
      <c r="Y32" s="113">
        <f t="shared" si="3"/>
        <v>0</v>
      </c>
      <c r="Z32" s="112"/>
    </row>
    <row r="33" spans="1:26" s="114" customFormat="1" ht="74.25" customHeight="1" x14ac:dyDescent="0.35">
      <c r="A33" s="180">
        <v>4</v>
      </c>
      <c r="B33" s="375" t="s">
        <v>148</v>
      </c>
      <c r="C33" s="376"/>
      <c r="D33" s="376"/>
      <c r="E33" s="376"/>
      <c r="F33" s="376"/>
      <c r="G33" s="377"/>
      <c r="H33" s="334" t="s">
        <v>149</v>
      </c>
      <c r="I33" s="334" t="s">
        <v>124</v>
      </c>
      <c r="J33" s="125"/>
      <c r="K33" s="112"/>
      <c r="L33" s="112"/>
      <c r="M33" s="113">
        <f t="shared" si="0"/>
        <v>0</v>
      </c>
      <c r="N33" s="113"/>
      <c r="O33" s="113"/>
      <c r="P33" s="113"/>
      <c r="Q33" s="113"/>
      <c r="R33" s="113"/>
      <c r="S33" s="113"/>
      <c r="T33" s="113"/>
      <c r="U33" s="113">
        <f t="shared" si="2"/>
        <v>0</v>
      </c>
      <c r="V33" s="113"/>
      <c r="W33" s="113"/>
      <c r="X33" s="113"/>
      <c r="Y33" s="113">
        <f t="shared" si="3"/>
        <v>0</v>
      </c>
      <c r="Z33" s="112"/>
    </row>
    <row r="34" spans="1:26" s="114" customFormat="1" ht="54" x14ac:dyDescent="0.35">
      <c r="A34" s="194" t="s">
        <v>150</v>
      </c>
      <c r="B34" s="130" t="s">
        <v>126</v>
      </c>
      <c r="C34" s="97">
        <f t="shared" si="5"/>
        <v>7890</v>
      </c>
      <c r="D34" s="181">
        <v>7890</v>
      </c>
      <c r="E34" s="129"/>
      <c r="F34" s="129"/>
      <c r="G34" s="129"/>
      <c r="H34" s="335"/>
      <c r="I34" s="335"/>
      <c r="J34" s="125"/>
      <c r="K34" s="112"/>
      <c r="L34" s="112"/>
      <c r="M34" s="113">
        <f t="shared" si="0"/>
        <v>0</v>
      </c>
      <c r="N34" s="113"/>
      <c r="O34" s="113"/>
      <c r="P34" s="84">
        <v>3750</v>
      </c>
      <c r="Q34" s="113">
        <f t="shared" si="1"/>
        <v>3750</v>
      </c>
      <c r="R34" s="113"/>
      <c r="S34" s="113"/>
      <c r="T34" s="113"/>
      <c r="U34" s="113">
        <f t="shared" si="2"/>
        <v>0</v>
      </c>
      <c r="V34" s="113"/>
      <c r="W34" s="113"/>
      <c r="X34" s="84">
        <v>4140</v>
      </c>
      <c r="Y34" s="113">
        <f t="shared" si="3"/>
        <v>4140</v>
      </c>
      <c r="Z34" s="94" t="s">
        <v>348</v>
      </c>
    </row>
    <row r="35" spans="1:26" s="114" customFormat="1" ht="54" x14ac:dyDescent="0.35">
      <c r="A35" s="125" t="s">
        <v>151</v>
      </c>
      <c r="B35" s="126" t="s">
        <v>152</v>
      </c>
      <c r="C35" s="97">
        <f t="shared" si="5"/>
        <v>2000</v>
      </c>
      <c r="D35" s="181">
        <v>2000</v>
      </c>
      <c r="E35" s="129"/>
      <c r="F35" s="129"/>
      <c r="G35" s="129"/>
      <c r="H35" s="335"/>
      <c r="I35" s="335"/>
      <c r="J35" s="125"/>
      <c r="K35" s="112"/>
      <c r="L35" s="112"/>
      <c r="M35" s="113">
        <f t="shared" si="0"/>
        <v>0</v>
      </c>
      <c r="N35" s="113"/>
      <c r="O35" s="84">
        <v>222</v>
      </c>
      <c r="P35" s="113"/>
      <c r="Q35" s="113">
        <f t="shared" si="1"/>
        <v>222</v>
      </c>
      <c r="R35" s="113"/>
      <c r="S35" s="113"/>
      <c r="T35" s="113">
        <v>-4</v>
      </c>
      <c r="U35" s="113">
        <f t="shared" si="2"/>
        <v>-4</v>
      </c>
      <c r="V35" s="113"/>
      <c r="W35" s="113">
        <v>180</v>
      </c>
      <c r="X35" s="84">
        <v>69</v>
      </c>
      <c r="Y35" s="113">
        <f t="shared" si="3"/>
        <v>249</v>
      </c>
      <c r="Z35" s="94" t="s">
        <v>349</v>
      </c>
    </row>
    <row r="36" spans="1:26" s="114" customFormat="1" ht="42.95" customHeight="1" x14ac:dyDescent="0.35">
      <c r="A36" s="125" t="s">
        <v>153</v>
      </c>
      <c r="B36" s="126" t="s">
        <v>154</v>
      </c>
      <c r="C36" s="97">
        <f t="shared" si="5"/>
        <v>8400</v>
      </c>
      <c r="D36" s="181">
        <v>8400</v>
      </c>
      <c r="E36" s="129"/>
      <c r="F36" s="129"/>
      <c r="G36" s="129"/>
      <c r="H36" s="335"/>
      <c r="I36" s="335"/>
      <c r="J36" s="125"/>
      <c r="K36" s="112"/>
      <c r="L36" s="112"/>
      <c r="M36" s="113">
        <f t="shared" si="0"/>
        <v>0</v>
      </c>
      <c r="N36" s="113"/>
      <c r="O36" s="113"/>
      <c r="P36" s="113"/>
      <c r="Q36" s="113">
        <f t="shared" si="1"/>
        <v>0</v>
      </c>
      <c r="R36" s="182">
        <v>6835.3</v>
      </c>
      <c r="S36" s="113"/>
      <c r="T36" s="113"/>
      <c r="U36" s="113">
        <f t="shared" si="2"/>
        <v>6835.3</v>
      </c>
      <c r="V36" s="113">
        <v>273.23</v>
      </c>
      <c r="W36" s="85"/>
      <c r="X36" s="113"/>
      <c r="Y36" s="113">
        <f>V36+W36+X36</f>
        <v>273.23</v>
      </c>
      <c r="Z36" s="94" t="s">
        <v>349</v>
      </c>
    </row>
    <row r="37" spans="1:26" s="114" customFormat="1" ht="42.95" customHeight="1" x14ac:dyDescent="0.35">
      <c r="A37" s="125" t="s">
        <v>155</v>
      </c>
      <c r="B37" s="126" t="s">
        <v>156</v>
      </c>
      <c r="C37" s="97">
        <f t="shared" si="5"/>
        <v>50</v>
      </c>
      <c r="D37" s="181">
        <v>50</v>
      </c>
      <c r="E37" s="129"/>
      <c r="F37" s="129"/>
      <c r="G37" s="128"/>
      <c r="H37" s="335"/>
      <c r="I37" s="335"/>
      <c r="J37" s="125"/>
      <c r="K37" s="112"/>
      <c r="L37" s="112"/>
      <c r="M37" s="113">
        <f t="shared" si="0"/>
        <v>0</v>
      </c>
      <c r="N37" s="113"/>
      <c r="O37" s="113"/>
      <c r="P37" s="113"/>
      <c r="Q37" s="113">
        <f t="shared" si="1"/>
        <v>0</v>
      </c>
      <c r="R37" s="113"/>
      <c r="S37" s="113"/>
      <c r="T37" s="113"/>
      <c r="U37" s="113">
        <f t="shared" si="2"/>
        <v>0</v>
      </c>
      <c r="V37" s="113"/>
      <c r="W37" s="113"/>
      <c r="X37" s="113"/>
      <c r="Y37" s="113">
        <f t="shared" si="3"/>
        <v>0</v>
      </c>
      <c r="Z37" s="112"/>
    </row>
    <row r="38" spans="1:26" s="114" customFormat="1" ht="42.95" customHeight="1" thickBot="1" x14ac:dyDescent="0.4">
      <c r="A38" s="183" t="s">
        <v>157</v>
      </c>
      <c r="B38" s="184" t="s">
        <v>158</v>
      </c>
      <c r="C38" s="185">
        <f t="shared" si="5"/>
        <v>1600</v>
      </c>
      <c r="D38" s="186">
        <v>1600</v>
      </c>
      <c r="E38" s="187"/>
      <c r="F38" s="187"/>
      <c r="G38" s="188"/>
      <c r="H38" s="335"/>
      <c r="I38" s="335"/>
      <c r="J38" s="125"/>
      <c r="K38" s="112"/>
      <c r="L38" s="112"/>
      <c r="M38" s="113">
        <f t="shared" si="0"/>
        <v>0</v>
      </c>
      <c r="N38" s="113"/>
      <c r="O38" s="113"/>
      <c r="P38" s="113"/>
      <c r="Q38" s="113">
        <f t="shared" si="1"/>
        <v>0</v>
      </c>
      <c r="R38" s="182">
        <v>765</v>
      </c>
      <c r="S38" s="113"/>
      <c r="T38" s="113"/>
      <c r="U38" s="113">
        <f t="shared" si="2"/>
        <v>765</v>
      </c>
      <c r="V38" s="113"/>
      <c r="W38" s="113"/>
      <c r="X38" s="84">
        <v>770</v>
      </c>
      <c r="Y38" s="113">
        <f t="shared" si="3"/>
        <v>770</v>
      </c>
      <c r="Z38" s="94" t="s">
        <v>410</v>
      </c>
    </row>
    <row r="39" spans="1:26" s="114" customFormat="1" ht="42.95" customHeight="1" x14ac:dyDescent="0.35">
      <c r="A39" s="189"/>
      <c r="B39" s="190" t="s">
        <v>13</v>
      </c>
      <c r="C39" s="196">
        <f t="shared" si="5"/>
        <v>19940</v>
      </c>
      <c r="D39" s="192">
        <f>SUM(D34:D38)</f>
        <v>19940</v>
      </c>
      <c r="E39" s="193"/>
      <c r="F39" s="193"/>
      <c r="G39" s="193"/>
      <c r="H39" s="336"/>
      <c r="I39" s="336"/>
      <c r="J39" s="125"/>
      <c r="K39" s="112"/>
      <c r="L39" s="112"/>
      <c r="M39" s="113">
        <f t="shared" si="0"/>
        <v>0</v>
      </c>
      <c r="N39" s="113"/>
      <c r="O39" s="113"/>
      <c r="P39" s="113"/>
      <c r="Q39" s="113">
        <f t="shared" si="1"/>
        <v>0</v>
      </c>
      <c r="R39" s="113"/>
      <c r="S39" s="113"/>
      <c r="T39" s="113"/>
      <c r="U39" s="113">
        <f t="shared" si="2"/>
        <v>0</v>
      </c>
      <c r="V39" s="113"/>
      <c r="W39" s="113"/>
      <c r="X39" s="113"/>
      <c r="Y39" s="113">
        <f t="shared" si="3"/>
        <v>0</v>
      </c>
      <c r="Z39" s="112"/>
    </row>
    <row r="40" spans="1:26" s="114" customFormat="1" ht="95.25" customHeight="1" x14ac:dyDescent="0.35">
      <c r="A40" s="180">
        <v>5</v>
      </c>
      <c r="B40" s="375" t="s">
        <v>159</v>
      </c>
      <c r="C40" s="376"/>
      <c r="D40" s="376"/>
      <c r="E40" s="376"/>
      <c r="F40" s="376"/>
      <c r="G40" s="377"/>
      <c r="H40" s="334" t="s">
        <v>160</v>
      </c>
      <c r="I40" s="334" t="s">
        <v>124</v>
      </c>
      <c r="J40" s="125"/>
      <c r="K40" s="112"/>
      <c r="L40" s="112"/>
      <c r="M40" s="113">
        <f t="shared" si="0"/>
        <v>0</v>
      </c>
      <c r="N40" s="113"/>
      <c r="O40" s="113"/>
      <c r="P40" s="113"/>
      <c r="Q40" s="113"/>
      <c r="R40" s="113"/>
      <c r="S40" s="113"/>
      <c r="T40" s="113"/>
      <c r="U40" s="113">
        <f t="shared" si="2"/>
        <v>0</v>
      </c>
      <c r="V40" s="113"/>
      <c r="W40" s="113"/>
      <c r="X40" s="113"/>
      <c r="Y40" s="113">
        <f t="shared" si="3"/>
        <v>0</v>
      </c>
      <c r="Z40" s="112"/>
    </row>
    <row r="41" spans="1:26" s="114" customFormat="1" ht="54" x14ac:dyDescent="0.35">
      <c r="A41" s="125" t="s">
        <v>161</v>
      </c>
      <c r="B41" s="130" t="s">
        <v>126</v>
      </c>
      <c r="C41" s="97">
        <f t="shared" si="5"/>
        <v>4000</v>
      </c>
      <c r="D41" s="128">
        <v>4000</v>
      </c>
      <c r="E41" s="129"/>
      <c r="F41" s="129"/>
      <c r="G41" s="129"/>
      <c r="H41" s="335"/>
      <c r="I41" s="335"/>
      <c r="J41" s="125"/>
      <c r="K41" s="112"/>
      <c r="L41" s="112"/>
      <c r="M41" s="113">
        <f t="shared" si="0"/>
        <v>0</v>
      </c>
      <c r="N41" s="84">
        <v>1000</v>
      </c>
      <c r="O41" s="113"/>
      <c r="P41" s="84">
        <v>1000</v>
      </c>
      <c r="Q41" s="113">
        <f t="shared" si="1"/>
        <v>2000</v>
      </c>
      <c r="R41" s="113"/>
      <c r="S41" s="113"/>
      <c r="T41" s="182">
        <v>1000</v>
      </c>
      <c r="U41" s="113">
        <f t="shared" si="2"/>
        <v>1000</v>
      </c>
      <c r="V41" s="113"/>
      <c r="W41" s="84">
        <v>1000</v>
      </c>
      <c r="X41" s="113"/>
      <c r="Y41" s="113">
        <f t="shared" si="3"/>
        <v>1000</v>
      </c>
      <c r="Z41" s="94" t="s">
        <v>348</v>
      </c>
    </row>
    <row r="42" spans="1:26" s="114" customFormat="1" ht="54" x14ac:dyDescent="0.35">
      <c r="A42" s="125" t="s">
        <v>162</v>
      </c>
      <c r="B42" s="126" t="s">
        <v>163</v>
      </c>
      <c r="C42" s="97">
        <f t="shared" si="5"/>
        <v>3000</v>
      </c>
      <c r="D42" s="128">
        <v>3000</v>
      </c>
      <c r="E42" s="129"/>
      <c r="F42" s="129"/>
      <c r="G42" s="129"/>
      <c r="H42" s="335"/>
      <c r="I42" s="335"/>
      <c r="J42" s="125"/>
      <c r="K42" s="112"/>
      <c r="L42" s="112"/>
      <c r="M42" s="113">
        <f t="shared" si="0"/>
        <v>0</v>
      </c>
      <c r="N42" s="113"/>
      <c r="O42" s="113"/>
      <c r="P42" s="84">
        <v>3000</v>
      </c>
      <c r="Q42" s="113">
        <f t="shared" si="1"/>
        <v>3000</v>
      </c>
      <c r="R42" s="113"/>
      <c r="S42" s="113"/>
      <c r="T42" s="113"/>
      <c r="U42" s="113">
        <f t="shared" si="2"/>
        <v>0</v>
      </c>
      <c r="V42" s="113"/>
      <c r="W42" s="113"/>
      <c r="X42" s="113"/>
      <c r="Y42" s="113">
        <f t="shared" si="3"/>
        <v>0</v>
      </c>
      <c r="Z42" s="94" t="s">
        <v>349</v>
      </c>
    </row>
    <row r="43" spans="1:26" s="114" customFormat="1" ht="42.95" customHeight="1" thickBot="1" x14ac:dyDescent="0.4">
      <c r="A43" s="125" t="s">
        <v>164</v>
      </c>
      <c r="B43" s="184" t="s">
        <v>165</v>
      </c>
      <c r="C43" s="185">
        <f t="shared" si="5"/>
        <v>3000</v>
      </c>
      <c r="D43" s="188">
        <v>3000</v>
      </c>
      <c r="E43" s="187"/>
      <c r="F43" s="187"/>
      <c r="G43" s="188"/>
      <c r="H43" s="335"/>
      <c r="I43" s="335"/>
      <c r="J43" s="125"/>
      <c r="K43" s="112"/>
      <c r="L43" s="112"/>
      <c r="M43" s="113">
        <f t="shared" si="0"/>
        <v>0</v>
      </c>
      <c r="N43" s="113"/>
      <c r="O43" s="113"/>
      <c r="P43" s="113"/>
      <c r="Q43" s="113">
        <f t="shared" si="1"/>
        <v>0</v>
      </c>
      <c r="R43" s="182">
        <v>2940</v>
      </c>
      <c r="S43" s="113"/>
      <c r="T43" s="113"/>
      <c r="U43" s="113">
        <f t="shared" si="2"/>
        <v>2940</v>
      </c>
      <c r="V43" s="113"/>
      <c r="W43" s="113"/>
      <c r="X43" s="113"/>
      <c r="Y43" s="113">
        <f t="shared" si="3"/>
        <v>0</v>
      </c>
      <c r="Z43" s="94" t="s">
        <v>411</v>
      </c>
    </row>
    <row r="44" spans="1:26" s="114" customFormat="1" ht="42.95" customHeight="1" x14ac:dyDescent="0.35">
      <c r="A44" s="189"/>
      <c r="B44" s="190" t="s">
        <v>13</v>
      </c>
      <c r="C44" s="196">
        <f t="shared" si="5"/>
        <v>10000</v>
      </c>
      <c r="D44" s="198">
        <f>SUM(D41:D43)</f>
        <v>10000</v>
      </c>
      <c r="E44" s="193"/>
      <c r="F44" s="193"/>
      <c r="G44" s="193"/>
      <c r="H44" s="336"/>
      <c r="I44" s="336"/>
      <c r="J44" s="125"/>
      <c r="K44" s="112"/>
      <c r="L44" s="112"/>
      <c r="M44" s="113">
        <f t="shared" si="0"/>
        <v>0</v>
      </c>
      <c r="N44" s="113"/>
      <c r="O44" s="113"/>
      <c r="P44" s="113"/>
      <c r="Q44" s="113">
        <f t="shared" si="1"/>
        <v>0</v>
      </c>
      <c r="R44" s="113"/>
      <c r="S44" s="113"/>
      <c r="T44" s="113"/>
      <c r="U44" s="113">
        <f t="shared" si="2"/>
        <v>0</v>
      </c>
      <c r="V44" s="113"/>
      <c r="W44" s="113"/>
      <c r="X44" s="113"/>
      <c r="Y44" s="113">
        <f t="shared" si="3"/>
        <v>0</v>
      </c>
      <c r="Z44" s="112"/>
    </row>
    <row r="45" spans="1:26" s="114" customFormat="1" ht="80.25" customHeight="1" x14ac:dyDescent="0.35">
      <c r="A45" s="180">
        <v>6</v>
      </c>
      <c r="B45" s="375" t="s">
        <v>166</v>
      </c>
      <c r="C45" s="376"/>
      <c r="D45" s="376"/>
      <c r="E45" s="376"/>
      <c r="F45" s="376"/>
      <c r="G45" s="377"/>
      <c r="H45" s="334" t="s">
        <v>167</v>
      </c>
      <c r="I45" s="334" t="s">
        <v>124</v>
      </c>
      <c r="J45" s="125"/>
      <c r="K45" s="112"/>
      <c r="L45" s="112"/>
      <c r="M45" s="113">
        <f t="shared" si="0"/>
        <v>0</v>
      </c>
      <c r="N45" s="113"/>
      <c r="O45" s="113"/>
      <c r="P45" s="113"/>
      <c r="Q45" s="113"/>
      <c r="R45" s="113"/>
      <c r="S45" s="113"/>
      <c r="T45" s="113"/>
      <c r="U45" s="113">
        <f t="shared" si="2"/>
        <v>0</v>
      </c>
      <c r="V45" s="113"/>
      <c r="W45" s="113"/>
      <c r="X45" s="113"/>
      <c r="Y45" s="113">
        <f t="shared" si="3"/>
        <v>0</v>
      </c>
      <c r="Z45" s="112"/>
    </row>
    <row r="46" spans="1:26" s="114" customFormat="1" ht="54" x14ac:dyDescent="0.35">
      <c r="A46" s="125" t="s">
        <v>168</v>
      </c>
      <c r="B46" s="130" t="s">
        <v>126</v>
      </c>
      <c r="C46" s="97">
        <f t="shared" si="5"/>
        <v>7550</v>
      </c>
      <c r="D46" s="181">
        <v>7550</v>
      </c>
      <c r="E46" s="129"/>
      <c r="F46" s="129"/>
      <c r="G46" s="129"/>
      <c r="H46" s="335"/>
      <c r="I46" s="335"/>
      <c r="J46" s="125"/>
      <c r="K46" s="112"/>
      <c r="L46" s="112"/>
      <c r="M46" s="113">
        <f t="shared" si="0"/>
        <v>0</v>
      </c>
      <c r="N46" s="84">
        <v>2370</v>
      </c>
      <c r="O46" s="113"/>
      <c r="P46" s="113"/>
      <c r="Q46" s="113">
        <f t="shared" si="1"/>
        <v>2370</v>
      </c>
      <c r="R46" s="113">
        <v>2210</v>
      </c>
      <c r="S46" s="113"/>
      <c r="T46" s="113"/>
      <c r="U46" s="113">
        <f t="shared" si="2"/>
        <v>2210</v>
      </c>
      <c r="V46" s="113"/>
      <c r="W46" s="84">
        <v>2520</v>
      </c>
      <c r="X46" s="84">
        <v>450</v>
      </c>
      <c r="Y46" s="113">
        <f t="shared" si="3"/>
        <v>2970</v>
      </c>
      <c r="Z46" s="94" t="s">
        <v>348</v>
      </c>
    </row>
    <row r="47" spans="1:26" s="114" customFormat="1" ht="90" x14ac:dyDescent="0.35">
      <c r="A47" s="125" t="s">
        <v>169</v>
      </c>
      <c r="B47" s="199" t="s">
        <v>170</v>
      </c>
      <c r="C47" s="200">
        <f t="shared" si="5"/>
        <v>4870</v>
      </c>
      <c r="D47" s="201">
        <f>3000+300+350+200+100+300+120+80+150+60+60+10+30+30+50+30</f>
        <v>4870</v>
      </c>
      <c r="E47" s="202"/>
      <c r="F47" s="202"/>
      <c r="G47" s="203"/>
      <c r="H47" s="335"/>
      <c r="I47" s="335"/>
      <c r="J47" s="125"/>
      <c r="K47" s="112"/>
      <c r="L47" s="112"/>
      <c r="M47" s="113">
        <f t="shared" si="0"/>
        <v>0</v>
      </c>
      <c r="N47" s="84">
        <f>3000+1010</f>
        <v>4010</v>
      </c>
      <c r="O47" s="113"/>
      <c r="P47" s="113"/>
      <c r="Q47" s="113">
        <f t="shared" si="1"/>
        <v>4010</v>
      </c>
      <c r="R47" s="113">
        <f>124.5</f>
        <v>124.5</v>
      </c>
      <c r="S47" s="182">
        <v>300</v>
      </c>
      <c r="T47" s="113"/>
      <c r="U47" s="113">
        <f t="shared" si="2"/>
        <v>424.5</v>
      </c>
      <c r="V47" s="113"/>
      <c r="W47" s="113"/>
      <c r="X47" s="113"/>
      <c r="Y47" s="113">
        <f t="shared" si="3"/>
        <v>0</v>
      </c>
      <c r="Z47" s="94" t="s">
        <v>352</v>
      </c>
    </row>
    <row r="48" spans="1:26" s="114" customFormat="1" ht="45.75" customHeight="1" x14ac:dyDescent="0.35">
      <c r="A48" s="125" t="s">
        <v>171</v>
      </c>
      <c r="B48" s="126" t="s">
        <v>172</v>
      </c>
      <c r="C48" s="200">
        <f t="shared" si="5"/>
        <v>6500</v>
      </c>
      <c r="D48" s="181">
        <v>6500</v>
      </c>
      <c r="E48" s="128"/>
      <c r="F48" s="128"/>
      <c r="G48" s="128"/>
      <c r="H48" s="335"/>
      <c r="I48" s="335"/>
      <c r="J48" s="125"/>
      <c r="K48" s="112"/>
      <c r="L48" s="112"/>
      <c r="M48" s="113">
        <f t="shared" si="0"/>
        <v>0</v>
      </c>
      <c r="N48" s="113"/>
      <c r="O48" s="113"/>
      <c r="P48" s="113"/>
      <c r="Q48" s="113">
        <f t="shared" si="1"/>
        <v>0</v>
      </c>
      <c r="R48" s="113"/>
      <c r="S48" s="113"/>
      <c r="T48" s="113"/>
      <c r="U48" s="113">
        <f t="shared" si="2"/>
        <v>0</v>
      </c>
      <c r="V48" s="113"/>
      <c r="W48" s="84">
        <v>5200</v>
      </c>
      <c r="X48" s="113"/>
      <c r="Y48" s="113">
        <f t="shared" si="3"/>
        <v>5200</v>
      </c>
      <c r="Z48" s="94" t="s">
        <v>442</v>
      </c>
    </row>
    <row r="49" spans="1:26" s="114" customFormat="1" ht="39" customHeight="1" thickBot="1" x14ac:dyDescent="0.4">
      <c r="A49" s="125" t="s">
        <v>173</v>
      </c>
      <c r="B49" s="184" t="s">
        <v>174</v>
      </c>
      <c r="C49" s="185">
        <f t="shared" si="5"/>
        <v>1000</v>
      </c>
      <c r="D49" s="186">
        <v>1000</v>
      </c>
      <c r="E49" s="188"/>
      <c r="F49" s="188"/>
      <c r="G49" s="188"/>
      <c r="H49" s="335"/>
      <c r="I49" s="335"/>
      <c r="J49" s="125"/>
      <c r="K49" s="112"/>
      <c r="L49" s="112"/>
      <c r="M49" s="113">
        <f t="shared" si="0"/>
        <v>0</v>
      </c>
      <c r="N49" s="113"/>
      <c r="O49" s="113"/>
      <c r="P49" s="113"/>
      <c r="Q49" s="113">
        <f t="shared" si="1"/>
        <v>0</v>
      </c>
      <c r="R49" s="113"/>
      <c r="S49" s="113"/>
      <c r="T49" s="182">
        <v>843.93</v>
      </c>
      <c r="U49" s="113">
        <f t="shared" si="2"/>
        <v>843.93</v>
      </c>
      <c r="V49" s="113"/>
      <c r="W49" s="113"/>
      <c r="X49" s="113"/>
      <c r="Y49" s="113">
        <f t="shared" si="3"/>
        <v>0</v>
      </c>
      <c r="Z49" s="94" t="s">
        <v>412</v>
      </c>
    </row>
    <row r="50" spans="1:26" s="114" customFormat="1" ht="27.75" customHeight="1" x14ac:dyDescent="0.35">
      <c r="A50" s="125"/>
      <c r="B50" s="190" t="s">
        <v>13</v>
      </c>
      <c r="C50" s="196">
        <f t="shared" si="5"/>
        <v>19920</v>
      </c>
      <c r="D50" s="192">
        <f>SUM(D46:D49)</f>
        <v>19920</v>
      </c>
      <c r="E50" s="198"/>
      <c r="F50" s="198"/>
      <c r="G50" s="198"/>
      <c r="H50" s="336"/>
      <c r="I50" s="336"/>
      <c r="J50" s="125"/>
      <c r="K50" s="112"/>
      <c r="L50" s="112"/>
      <c r="M50" s="113">
        <f t="shared" si="0"/>
        <v>0</v>
      </c>
      <c r="N50" s="113"/>
      <c r="O50" s="113"/>
      <c r="P50" s="113"/>
      <c r="Q50" s="113">
        <f t="shared" si="1"/>
        <v>0</v>
      </c>
      <c r="R50" s="113"/>
      <c r="S50" s="113"/>
      <c r="T50" s="113"/>
      <c r="U50" s="113">
        <f t="shared" si="2"/>
        <v>0</v>
      </c>
      <c r="V50" s="113"/>
      <c r="W50" s="113"/>
      <c r="X50" s="113"/>
      <c r="Y50" s="113">
        <f t="shared" si="3"/>
        <v>0</v>
      </c>
      <c r="Z50" s="112"/>
    </row>
    <row r="51" spans="1:26" s="114" customFormat="1" ht="99.75" customHeight="1" x14ac:dyDescent="0.35">
      <c r="A51" s="180">
        <v>7</v>
      </c>
      <c r="B51" s="375" t="s">
        <v>175</v>
      </c>
      <c r="C51" s="376"/>
      <c r="D51" s="376"/>
      <c r="E51" s="376"/>
      <c r="F51" s="376"/>
      <c r="G51" s="377"/>
      <c r="H51" s="334" t="s">
        <v>176</v>
      </c>
      <c r="I51" s="334" t="s">
        <v>124</v>
      </c>
      <c r="J51" s="125"/>
      <c r="K51" s="112"/>
      <c r="L51" s="112"/>
      <c r="M51" s="113">
        <f t="shared" si="0"/>
        <v>0</v>
      </c>
      <c r="N51" s="113"/>
      <c r="O51" s="113"/>
      <c r="P51" s="113"/>
      <c r="Q51" s="113"/>
      <c r="R51" s="113"/>
      <c r="S51" s="113"/>
      <c r="T51" s="113"/>
      <c r="U51" s="113">
        <f t="shared" si="2"/>
        <v>0</v>
      </c>
      <c r="V51" s="113"/>
      <c r="W51" s="113"/>
      <c r="X51" s="113"/>
      <c r="Y51" s="113">
        <f t="shared" si="3"/>
        <v>0</v>
      </c>
      <c r="Z51" s="112"/>
    </row>
    <row r="52" spans="1:26" s="114" customFormat="1" ht="54" x14ac:dyDescent="0.35">
      <c r="A52" s="125" t="s">
        <v>177</v>
      </c>
      <c r="B52" s="130" t="s">
        <v>126</v>
      </c>
      <c r="C52" s="97">
        <f t="shared" ref="C52:C77" si="6">D52+E52+F52+G52</f>
        <v>8000</v>
      </c>
      <c r="D52" s="128">
        <v>8000</v>
      </c>
      <c r="E52" s="129"/>
      <c r="F52" s="129"/>
      <c r="G52" s="129"/>
      <c r="H52" s="335"/>
      <c r="I52" s="335"/>
      <c r="J52" s="125"/>
      <c r="K52" s="112"/>
      <c r="L52" s="112"/>
      <c r="M52" s="113">
        <f t="shared" si="0"/>
        <v>0</v>
      </c>
      <c r="N52" s="113"/>
      <c r="O52" s="113"/>
      <c r="P52" s="84">
        <v>3600</v>
      </c>
      <c r="Q52" s="113">
        <f t="shared" si="1"/>
        <v>3600</v>
      </c>
      <c r="R52" s="113"/>
      <c r="S52" s="113"/>
      <c r="T52" s="182">
        <v>2175</v>
      </c>
      <c r="U52" s="113">
        <f t="shared" si="2"/>
        <v>2175</v>
      </c>
      <c r="V52" s="113"/>
      <c r="W52" s="113"/>
      <c r="X52" s="84">
        <v>2225</v>
      </c>
      <c r="Y52" s="113">
        <f t="shared" si="3"/>
        <v>2225</v>
      </c>
      <c r="Z52" s="94" t="s">
        <v>348</v>
      </c>
    </row>
    <row r="53" spans="1:26" s="114" customFormat="1" ht="54" x14ac:dyDescent="0.35">
      <c r="A53" s="125" t="s">
        <v>178</v>
      </c>
      <c r="B53" s="126" t="s">
        <v>14</v>
      </c>
      <c r="C53" s="97">
        <f t="shared" si="6"/>
        <v>300</v>
      </c>
      <c r="D53" s="128">
        <v>300</v>
      </c>
      <c r="E53" s="129"/>
      <c r="F53" s="129"/>
      <c r="G53" s="129"/>
      <c r="H53" s="335"/>
      <c r="I53" s="335"/>
      <c r="J53" s="125"/>
      <c r="K53" s="112"/>
      <c r="L53" s="112"/>
      <c r="M53" s="113">
        <f t="shared" si="0"/>
        <v>0</v>
      </c>
      <c r="N53" s="113"/>
      <c r="O53" s="113"/>
      <c r="P53" s="113"/>
      <c r="Q53" s="113">
        <f t="shared" si="1"/>
        <v>0</v>
      </c>
      <c r="R53" s="113"/>
      <c r="S53" s="113"/>
      <c r="T53" s="113"/>
      <c r="U53" s="113">
        <f t="shared" si="2"/>
        <v>0</v>
      </c>
      <c r="V53" s="113"/>
      <c r="W53" s="113"/>
      <c r="X53" s="113"/>
      <c r="Y53" s="113">
        <f t="shared" si="3"/>
        <v>0</v>
      </c>
      <c r="Z53" s="94" t="s">
        <v>349</v>
      </c>
    </row>
    <row r="54" spans="1:26" s="114" customFormat="1" ht="42.95" customHeight="1" x14ac:dyDescent="0.35">
      <c r="A54" s="125" t="s">
        <v>179</v>
      </c>
      <c r="B54" s="126" t="s">
        <v>180</v>
      </c>
      <c r="C54" s="97">
        <f t="shared" si="6"/>
        <v>1100</v>
      </c>
      <c r="D54" s="128">
        <f>500+600</f>
        <v>1100</v>
      </c>
      <c r="E54" s="129"/>
      <c r="F54" s="129"/>
      <c r="G54" s="129"/>
      <c r="H54" s="335"/>
      <c r="I54" s="335"/>
      <c r="J54" s="125"/>
      <c r="K54" s="112"/>
      <c r="L54" s="112"/>
      <c r="M54" s="113">
        <f t="shared" si="0"/>
        <v>0</v>
      </c>
      <c r="N54" s="113"/>
      <c r="O54" s="113"/>
      <c r="P54" s="113"/>
      <c r="Q54" s="113">
        <f t="shared" si="1"/>
        <v>0</v>
      </c>
      <c r="R54" s="113"/>
      <c r="S54" s="113"/>
      <c r="T54" s="113"/>
      <c r="U54" s="113">
        <f t="shared" si="2"/>
        <v>0</v>
      </c>
      <c r="V54" s="113"/>
      <c r="W54" s="113"/>
      <c r="X54" s="113"/>
      <c r="Y54" s="113">
        <f t="shared" si="3"/>
        <v>0</v>
      </c>
      <c r="Z54" s="112"/>
    </row>
    <row r="55" spans="1:26" s="114" customFormat="1" ht="50.25" customHeight="1" x14ac:dyDescent="0.35">
      <c r="A55" s="125" t="s">
        <v>181</v>
      </c>
      <c r="B55" s="126" t="s">
        <v>182</v>
      </c>
      <c r="C55" s="97">
        <f t="shared" si="6"/>
        <v>1500</v>
      </c>
      <c r="D55" s="128">
        <v>1500</v>
      </c>
      <c r="E55" s="129"/>
      <c r="F55" s="129"/>
      <c r="G55" s="129"/>
      <c r="H55" s="335"/>
      <c r="I55" s="335"/>
      <c r="J55" s="125"/>
      <c r="K55" s="112"/>
      <c r="L55" s="112"/>
      <c r="M55" s="113">
        <f t="shared" si="0"/>
        <v>0</v>
      </c>
      <c r="N55" s="113"/>
      <c r="O55" s="113"/>
      <c r="P55" s="113"/>
      <c r="Q55" s="113">
        <f t="shared" si="1"/>
        <v>0</v>
      </c>
      <c r="R55" s="113"/>
      <c r="S55" s="113"/>
      <c r="T55" s="113"/>
      <c r="U55" s="113">
        <f t="shared" si="2"/>
        <v>0</v>
      </c>
      <c r="V55" s="113"/>
      <c r="W55" s="113"/>
      <c r="X55" s="113"/>
      <c r="Y55" s="113">
        <f t="shared" si="3"/>
        <v>0</v>
      </c>
      <c r="Z55" s="112"/>
    </row>
    <row r="56" spans="1:26" s="114" customFormat="1" ht="65.45" customHeight="1" x14ac:dyDescent="0.35">
      <c r="A56" s="204" t="s">
        <v>183</v>
      </c>
      <c r="B56" s="205" t="s">
        <v>184</v>
      </c>
      <c r="C56" s="200">
        <f t="shared" si="6"/>
        <v>2500</v>
      </c>
      <c r="D56" s="203">
        <v>2500</v>
      </c>
      <c r="E56" s="202"/>
      <c r="F56" s="202"/>
      <c r="G56" s="203"/>
      <c r="H56" s="335"/>
      <c r="I56" s="335"/>
      <c r="J56" s="125"/>
      <c r="K56" s="112"/>
      <c r="L56" s="112"/>
      <c r="M56" s="113">
        <f t="shared" si="0"/>
        <v>0</v>
      </c>
      <c r="N56" s="113"/>
      <c r="O56" s="113"/>
      <c r="P56" s="113"/>
      <c r="Q56" s="113">
        <f t="shared" si="1"/>
        <v>0</v>
      </c>
      <c r="R56" s="113"/>
      <c r="S56" s="113"/>
      <c r="T56" s="113"/>
      <c r="U56" s="113">
        <f t="shared" si="2"/>
        <v>0</v>
      </c>
      <c r="V56" s="113"/>
      <c r="W56" s="113"/>
      <c r="X56" s="84">
        <v>2500</v>
      </c>
      <c r="Y56" s="113">
        <f t="shared" si="3"/>
        <v>2500</v>
      </c>
      <c r="Z56" s="94" t="s">
        <v>444</v>
      </c>
    </row>
    <row r="57" spans="1:26" s="114" customFormat="1" ht="42.75" customHeight="1" x14ac:dyDescent="0.35">
      <c r="A57" s="125" t="s">
        <v>185</v>
      </c>
      <c r="B57" s="126" t="s">
        <v>186</v>
      </c>
      <c r="C57" s="200">
        <f t="shared" si="6"/>
        <v>4350</v>
      </c>
      <c r="D57" s="203">
        <v>4350</v>
      </c>
      <c r="E57" s="128"/>
      <c r="F57" s="128"/>
      <c r="G57" s="128"/>
      <c r="H57" s="335"/>
      <c r="I57" s="335"/>
      <c r="J57" s="125"/>
      <c r="K57" s="112"/>
      <c r="L57" s="112"/>
      <c r="M57" s="113">
        <f t="shared" si="0"/>
        <v>0</v>
      </c>
      <c r="N57" s="113"/>
      <c r="O57" s="113"/>
      <c r="P57" s="113"/>
      <c r="Q57" s="113">
        <f t="shared" si="1"/>
        <v>0</v>
      </c>
      <c r="R57" s="113"/>
      <c r="S57" s="113"/>
      <c r="T57" s="113"/>
      <c r="U57" s="113">
        <f t="shared" si="2"/>
        <v>0</v>
      </c>
      <c r="V57" s="113"/>
      <c r="W57" s="113"/>
      <c r="X57" s="84">
        <v>4350</v>
      </c>
      <c r="Y57" s="113">
        <f t="shared" si="3"/>
        <v>4350</v>
      </c>
      <c r="Z57" s="94" t="s">
        <v>443</v>
      </c>
    </row>
    <row r="58" spans="1:26" s="114" customFormat="1" ht="54.75" customHeight="1" thickBot="1" x14ac:dyDescent="0.4">
      <c r="A58" s="125" t="s">
        <v>187</v>
      </c>
      <c r="B58" s="184" t="s">
        <v>188</v>
      </c>
      <c r="C58" s="185">
        <f t="shared" si="6"/>
        <v>2250</v>
      </c>
      <c r="D58" s="188">
        <v>2250</v>
      </c>
      <c r="E58" s="188"/>
      <c r="F58" s="188"/>
      <c r="G58" s="188"/>
      <c r="H58" s="335"/>
      <c r="I58" s="335"/>
      <c r="J58" s="125"/>
      <c r="K58" s="112"/>
      <c r="L58" s="112"/>
      <c r="M58" s="113">
        <f t="shared" si="0"/>
        <v>0</v>
      </c>
      <c r="N58" s="113"/>
      <c r="O58" s="113"/>
      <c r="P58" s="113"/>
      <c r="Q58" s="113">
        <f t="shared" si="1"/>
        <v>0</v>
      </c>
      <c r="R58" s="113"/>
      <c r="S58" s="113"/>
      <c r="T58" s="113"/>
      <c r="U58" s="113">
        <f t="shared" si="2"/>
        <v>0</v>
      </c>
      <c r="V58" s="113"/>
      <c r="W58" s="113"/>
      <c r="X58" s="113"/>
      <c r="Y58" s="113">
        <f t="shared" si="3"/>
        <v>0</v>
      </c>
      <c r="Z58" s="112"/>
    </row>
    <row r="59" spans="1:26" s="114" customFormat="1" ht="36" customHeight="1" x14ac:dyDescent="0.35">
      <c r="A59" s="189"/>
      <c r="B59" s="190" t="s">
        <v>13</v>
      </c>
      <c r="C59" s="196">
        <f t="shared" si="6"/>
        <v>20000</v>
      </c>
      <c r="D59" s="192">
        <f>SUM(D52:D58)</f>
        <v>20000</v>
      </c>
      <c r="E59" s="193"/>
      <c r="F59" s="193"/>
      <c r="G59" s="193"/>
      <c r="H59" s="336"/>
      <c r="I59" s="336"/>
      <c r="J59" s="125"/>
      <c r="K59" s="112"/>
      <c r="L59" s="112"/>
      <c r="M59" s="113">
        <f t="shared" si="0"/>
        <v>0</v>
      </c>
      <c r="N59" s="113"/>
      <c r="O59" s="113"/>
      <c r="P59" s="113"/>
      <c r="Q59" s="113">
        <f t="shared" si="1"/>
        <v>0</v>
      </c>
      <c r="R59" s="113"/>
      <c r="S59" s="113"/>
      <c r="T59" s="113"/>
      <c r="U59" s="113">
        <f t="shared" si="2"/>
        <v>0</v>
      </c>
      <c r="V59" s="113"/>
      <c r="W59" s="113"/>
      <c r="X59" s="113"/>
      <c r="Y59" s="113">
        <f t="shared" si="3"/>
        <v>0</v>
      </c>
      <c r="Z59" s="112"/>
    </row>
    <row r="60" spans="1:26" s="114" customFormat="1" ht="102" customHeight="1" x14ac:dyDescent="0.35">
      <c r="A60" s="180">
        <v>8</v>
      </c>
      <c r="B60" s="375" t="s">
        <v>189</v>
      </c>
      <c r="C60" s="376"/>
      <c r="D60" s="376"/>
      <c r="E60" s="376"/>
      <c r="F60" s="376"/>
      <c r="G60" s="377"/>
      <c r="H60" s="334" t="s">
        <v>190</v>
      </c>
      <c r="I60" s="334" t="s">
        <v>124</v>
      </c>
      <c r="J60" s="125"/>
      <c r="K60" s="112"/>
      <c r="L60" s="112"/>
      <c r="M60" s="113">
        <f t="shared" si="0"/>
        <v>0</v>
      </c>
      <c r="N60" s="113"/>
      <c r="O60" s="113"/>
      <c r="P60" s="113"/>
      <c r="Q60" s="113"/>
      <c r="R60" s="113"/>
      <c r="S60" s="113"/>
      <c r="T60" s="113"/>
      <c r="U60" s="113">
        <f t="shared" si="2"/>
        <v>0</v>
      </c>
      <c r="V60" s="113"/>
      <c r="W60" s="113"/>
      <c r="X60" s="113"/>
      <c r="Y60" s="113">
        <f t="shared" si="3"/>
        <v>0</v>
      </c>
      <c r="Z60" s="112"/>
    </row>
    <row r="61" spans="1:26" s="114" customFormat="1" ht="65.45" customHeight="1" x14ac:dyDescent="0.35">
      <c r="A61" s="125" t="s">
        <v>191</v>
      </c>
      <c r="B61" s="130" t="s">
        <v>14</v>
      </c>
      <c r="C61" s="97">
        <f t="shared" si="6"/>
        <v>400</v>
      </c>
      <c r="D61" s="181">
        <v>400</v>
      </c>
      <c r="E61" s="129"/>
      <c r="F61" s="129"/>
      <c r="G61" s="129"/>
      <c r="H61" s="335"/>
      <c r="I61" s="335"/>
      <c r="J61" s="125"/>
      <c r="K61" s="112"/>
      <c r="L61" s="112"/>
      <c r="M61" s="113">
        <f t="shared" si="0"/>
        <v>0</v>
      </c>
      <c r="N61" s="113"/>
      <c r="O61" s="113"/>
      <c r="P61" s="113"/>
      <c r="Q61" s="113">
        <f t="shared" si="1"/>
        <v>0</v>
      </c>
      <c r="R61" s="113"/>
      <c r="S61" s="113"/>
      <c r="T61" s="113"/>
      <c r="U61" s="113">
        <f t="shared" si="2"/>
        <v>0</v>
      </c>
      <c r="V61" s="113"/>
      <c r="W61" s="113"/>
      <c r="X61" s="113"/>
      <c r="Y61" s="113">
        <f t="shared" si="3"/>
        <v>0</v>
      </c>
      <c r="Z61" s="112"/>
    </row>
    <row r="62" spans="1:26" s="114" customFormat="1" ht="65.45" customHeight="1" x14ac:dyDescent="0.35">
      <c r="A62" s="125" t="s">
        <v>192</v>
      </c>
      <c r="B62" s="126" t="s">
        <v>193</v>
      </c>
      <c r="C62" s="97">
        <f t="shared" si="6"/>
        <v>500</v>
      </c>
      <c r="D62" s="128">
        <v>500</v>
      </c>
      <c r="E62" s="129"/>
      <c r="F62" s="129"/>
      <c r="G62" s="129"/>
      <c r="H62" s="335"/>
      <c r="I62" s="335"/>
      <c r="J62" s="125"/>
      <c r="K62" s="112"/>
      <c r="L62" s="112"/>
      <c r="M62" s="113">
        <f t="shared" si="0"/>
        <v>0</v>
      </c>
      <c r="N62" s="113"/>
      <c r="O62" s="113"/>
      <c r="P62" s="113"/>
      <c r="Q62" s="113">
        <f t="shared" si="1"/>
        <v>0</v>
      </c>
      <c r="R62" s="113"/>
      <c r="S62" s="113"/>
      <c r="T62" s="113"/>
      <c r="U62" s="113">
        <f t="shared" si="2"/>
        <v>0</v>
      </c>
      <c r="V62" s="113"/>
      <c r="W62" s="84">
        <v>200</v>
      </c>
      <c r="X62" s="113"/>
      <c r="Y62" s="113">
        <f t="shared" si="3"/>
        <v>200</v>
      </c>
      <c r="Z62" s="94" t="s">
        <v>450</v>
      </c>
    </row>
    <row r="63" spans="1:26" s="114" customFormat="1" ht="65.45" customHeight="1" x14ac:dyDescent="0.35">
      <c r="A63" s="125" t="s">
        <v>194</v>
      </c>
      <c r="B63" s="126" t="s">
        <v>195</v>
      </c>
      <c r="C63" s="97">
        <f t="shared" si="6"/>
        <v>7100</v>
      </c>
      <c r="D63" s="128">
        <v>7100</v>
      </c>
      <c r="E63" s="129"/>
      <c r="F63" s="129"/>
      <c r="G63" s="128"/>
      <c r="H63" s="335"/>
      <c r="I63" s="335"/>
      <c r="J63" s="125"/>
      <c r="K63" s="112"/>
      <c r="L63" s="112"/>
      <c r="M63" s="113">
        <f t="shared" si="0"/>
        <v>0</v>
      </c>
      <c r="N63" s="113"/>
      <c r="O63" s="113"/>
      <c r="P63" s="113"/>
      <c r="Q63" s="113">
        <f t="shared" si="1"/>
        <v>0</v>
      </c>
      <c r="R63" s="113"/>
      <c r="S63" s="113"/>
      <c r="T63" s="182">
        <v>7100</v>
      </c>
      <c r="U63" s="113">
        <f t="shared" si="2"/>
        <v>7100</v>
      </c>
      <c r="V63" s="113"/>
      <c r="W63" s="113"/>
      <c r="X63" s="113"/>
      <c r="Y63" s="113">
        <f t="shared" si="3"/>
        <v>0</v>
      </c>
      <c r="Z63" s="94" t="s">
        <v>354</v>
      </c>
    </row>
    <row r="64" spans="1:26" s="114" customFormat="1" ht="65.45" customHeight="1" x14ac:dyDescent="0.35">
      <c r="A64" s="204" t="s">
        <v>196</v>
      </c>
      <c r="B64" s="199" t="s">
        <v>174</v>
      </c>
      <c r="C64" s="200">
        <f t="shared" si="6"/>
        <v>0</v>
      </c>
      <c r="D64" s="203">
        <v>0</v>
      </c>
      <c r="E64" s="202"/>
      <c r="F64" s="202"/>
      <c r="G64" s="203"/>
      <c r="H64" s="335"/>
      <c r="I64" s="335"/>
      <c r="J64" s="125"/>
      <c r="K64" s="112"/>
      <c r="L64" s="112"/>
      <c r="M64" s="113">
        <f t="shared" si="0"/>
        <v>0</v>
      </c>
      <c r="N64" s="113"/>
      <c r="O64" s="113"/>
      <c r="P64" s="113"/>
      <c r="Q64" s="113">
        <f t="shared" si="1"/>
        <v>0</v>
      </c>
      <c r="R64" s="113"/>
      <c r="S64" s="113"/>
      <c r="T64" s="113"/>
      <c r="U64" s="113">
        <f t="shared" si="2"/>
        <v>0</v>
      </c>
      <c r="V64" s="113"/>
      <c r="W64" s="113"/>
      <c r="X64" s="113"/>
      <c r="Y64" s="113">
        <f t="shared" si="3"/>
        <v>0</v>
      </c>
      <c r="Z64" s="112"/>
    </row>
    <row r="65" spans="1:26" s="114" customFormat="1" ht="65.45" customHeight="1" thickBot="1" x14ac:dyDescent="0.4">
      <c r="A65" s="183" t="s">
        <v>197</v>
      </c>
      <c r="B65" s="184" t="s">
        <v>198</v>
      </c>
      <c r="C65" s="185">
        <f t="shared" si="6"/>
        <v>2000</v>
      </c>
      <c r="D65" s="188">
        <f>1000+1000</f>
        <v>2000</v>
      </c>
      <c r="E65" s="187"/>
      <c r="F65" s="187"/>
      <c r="G65" s="188"/>
      <c r="H65" s="335"/>
      <c r="I65" s="335"/>
      <c r="J65" s="125"/>
      <c r="K65" s="112"/>
      <c r="L65" s="112"/>
      <c r="M65" s="113">
        <f t="shared" si="0"/>
        <v>0</v>
      </c>
      <c r="N65" s="113"/>
      <c r="O65" s="113"/>
      <c r="P65" s="113"/>
      <c r="Q65" s="113">
        <f t="shared" si="1"/>
        <v>0</v>
      </c>
      <c r="R65" s="113"/>
      <c r="S65" s="113"/>
      <c r="T65" s="113"/>
      <c r="U65" s="113">
        <f t="shared" si="2"/>
        <v>0</v>
      </c>
      <c r="V65" s="85">
        <v>2000</v>
      </c>
      <c r="W65" s="113"/>
      <c r="X65" s="113"/>
      <c r="Y65" s="113">
        <f t="shared" si="3"/>
        <v>2000</v>
      </c>
      <c r="Z65" s="94" t="s">
        <v>413</v>
      </c>
    </row>
    <row r="66" spans="1:26" s="114" customFormat="1" ht="42" customHeight="1" x14ac:dyDescent="0.35">
      <c r="A66" s="189"/>
      <c r="B66" s="190" t="s">
        <v>13</v>
      </c>
      <c r="C66" s="196">
        <f t="shared" si="6"/>
        <v>10000</v>
      </c>
      <c r="D66" s="192">
        <f>SUM(D61:D65)</f>
        <v>10000</v>
      </c>
      <c r="E66" s="193"/>
      <c r="F66" s="193"/>
      <c r="G66" s="193"/>
      <c r="H66" s="336"/>
      <c r="I66" s="336"/>
      <c r="J66" s="125"/>
      <c r="K66" s="112"/>
      <c r="L66" s="112"/>
      <c r="M66" s="113">
        <f t="shared" si="0"/>
        <v>0</v>
      </c>
      <c r="N66" s="113"/>
      <c r="O66" s="113"/>
      <c r="P66" s="113"/>
      <c r="Q66" s="113">
        <f t="shared" si="1"/>
        <v>0</v>
      </c>
      <c r="R66" s="113"/>
      <c r="S66" s="113"/>
      <c r="T66" s="113"/>
      <c r="U66" s="113">
        <f t="shared" si="2"/>
        <v>0</v>
      </c>
      <c r="V66" s="113"/>
      <c r="W66" s="113"/>
      <c r="X66" s="113"/>
      <c r="Y66" s="113">
        <f t="shared" si="3"/>
        <v>0</v>
      </c>
      <c r="Z66" s="112"/>
    </row>
    <row r="67" spans="1:26" s="114" customFormat="1" ht="72.75" customHeight="1" x14ac:dyDescent="0.35">
      <c r="A67" s="180">
        <v>9</v>
      </c>
      <c r="B67" s="375" t="s">
        <v>199</v>
      </c>
      <c r="C67" s="376"/>
      <c r="D67" s="376"/>
      <c r="E67" s="376"/>
      <c r="F67" s="376"/>
      <c r="G67" s="377"/>
      <c r="H67" s="334" t="s">
        <v>200</v>
      </c>
      <c r="I67" s="334" t="s">
        <v>124</v>
      </c>
      <c r="J67" s="125"/>
      <c r="K67" s="112"/>
      <c r="L67" s="112"/>
      <c r="M67" s="113">
        <f t="shared" si="0"/>
        <v>0</v>
      </c>
      <c r="N67" s="113"/>
      <c r="O67" s="113"/>
      <c r="P67" s="113"/>
      <c r="Q67" s="113"/>
      <c r="R67" s="113"/>
      <c r="S67" s="113"/>
      <c r="T67" s="113"/>
      <c r="U67" s="113">
        <f t="shared" si="2"/>
        <v>0</v>
      </c>
      <c r="V67" s="113"/>
      <c r="W67" s="113"/>
      <c r="X67" s="113"/>
      <c r="Y67" s="113">
        <f t="shared" si="3"/>
        <v>0</v>
      </c>
      <c r="Z67" s="112"/>
    </row>
    <row r="68" spans="1:26" s="114" customFormat="1" ht="111.75" customHeight="1" x14ac:dyDescent="0.35">
      <c r="A68" s="125" t="s">
        <v>201</v>
      </c>
      <c r="B68" s="126" t="s">
        <v>126</v>
      </c>
      <c r="C68" s="97">
        <f t="shared" si="6"/>
        <v>2000</v>
      </c>
      <c r="D68" s="181">
        <v>2000</v>
      </c>
      <c r="E68" s="181"/>
      <c r="F68" s="181"/>
      <c r="G68" s="181"/>
      <c r="H68" s="335"/>
      <c r="I68" s="335"/>
      <c r="J68" s="125"/>
      <c r="K68" s="112"/>
      <c r="L68" s="112"/>
      <c r="M68" s="113">
        <f t="shared" si="0"/>
        <v>0</v>
      </c>
      <c r="N68" s="113"/>
      <c r="O68" s="113"/>
      <c r="P68" s="113"/>
      <c r="Q68" s="113">
        <f t="shared" si="1"/>
        <v>0</v>
      </c>
      <c r="R68" s="113">
        <v>1500</v>
      </c>
      <c r="S68" s="113"/>
      <c r="T68" s="113"/>
      <c r="U68" s="113">
        <f t="shared" si="2"/>
        <v>1500</v>
      </c>
      <c r="V68" s="113"/>
      <c r="W68" s="113"/>
      <c r="X68" s="113"/>
      <c r="Y68" s="113">
        <f t="shared" si="3"/>
        <v>0</v>
      </c>
      <c r="Z68" s="94" t="s">
        <v>348</v>
      </c>
    </row>
    <row r="69" spans="1:26" s="114" customFormat="1" ht="65.45" customHeight="1" x14ac:dyDescent="0.35">
      <c r="A69" s="125" t="s">
        <v>202</v>
      </c>
      <c r="B69" s="126" t="s">
        <v>203</v>
      </c>
      <c r="C69" s="97">
        <f>D69+E69+F69+G69</f>
        <v>3000</v>
      </c>
      <c r="D69" s="181">
        <v>3000</v>
      </c>
      <c r="E69" s="181"/>
      <c r="F69" s="181"/>
      <c r="G69" s="181"/>
      <c r="H69" s="335"/>
      <c r="I69" s="335"/>
      <c r="J69" s="125"/>
      <c r="K69" s="112"/>
      <c r="L69" s="112"/>
      <c r="M69" s="113">
        <f t="shared" si="0"/>
        <v>0</v>
      </c>
      <c r="N69" s="113"/>
      <c r="O69" s="113"/>
      <c r="P69" s="113"/>
      <c r="Q69" s="113">
        <f t="shared" si="1"/>
        <v>0</v>
      </c>
      <c r="R69" s="113"/>
      <c r="S69" s="113"/>
      <c r="T69" s="113"/>
      <c r="U69" s="113">
        <f t="shared" si="2"/>
        <v>0</v>
      </c>
      <c r="V69" s="113"/>
      <c r="W69" s="113">
        <v>3000</v>
      </c>
      <c r="X69" s="84"/>
      <c r="Y69" s="113">
        <f t="shared" si="3"/>
        <v>3000</v>
      </c>
      <c r="Z69" s="94" t="s">
        <v>445</v>
      </c>
    </row>
    <row r="70" spans="1:26" s="114" customFormat="1" ht="39.75" customHeight="1" x14ac:dyDescent="0.35">
      <c r="A70" s="125" t="s">
        <v>204</v>
      </c>
      <c r="B70" s="126" t="s">
        <v>205</v>
      </c>
      <c r="C70" s="97">
        <f>D70+E70+F70+G70</f>
        <v>6000</v>
      </c>
      <c r="D70" s="181">
        <v>6000</v>
      </c>
      <c r="E70" s="181"/>
      <c r="F70" s="181"/>
      <c r="G70" s="181"/>
      <c r="H70" s="335"/>
      <c r="I70" s="335"/>
      <c r="J70" s="125"/>
      <c r="K70" s="112"/>
      <c r="L70" s="112"/>
      <c r="M70" s="113">
        <f t="shared" si="0"/>
        <v>0</v>
      </c>
      <c r="N70" s="113"/>
      <c r="O70" s="113"/>
      <c r="P70" s="113"/>
      <c r="Q70" s="113">
        <f t="shared" si="1"/>
        <v>0</v>
      </c>
      <c r="R70" s="113"/>
      <c r="S70" s="113"/>
      <c r="T70" s="113"/>
      <c r="U70" s="113">
        <f t="shared" si="2"/>
        <v>0</v>
      </c>
      <c r="V70" s="113"/>
      <c r="W70" s="113"/>
      <c r="X70" s="113"/>
      <c r="Y70" s="113">
        <f t="shared" si="3"/>
        <v>0</v>
      </c>
      <c r="Z70" s="112"/>
    </row>
    <row r="71" spans="1:26" s="114" customFormat="1" ht="65.45" customHeight="1" x14ac:dyDescent="0.35">
      <c r="A71" s="125" t="s">
        <v>206</v>
      </c>
      <c r="B71" s="126" t="s">
        <v>124</v>
      </c>
      <c r="C71" s="97">
        <f>D71+E71+F71+G71</f>
        <v>2000</v>
      </c>
      <c r="D71" s="181">
        <v>2000</v>
      </c>
      <c r="E71" s="181"/>
      <c r="F71" s="181"/>
      <c r="G71" s="181"/>
      <c r="H71" s="335"/>
      <c r="I71" s="335"/>
      <c r="J71" s="125"/>
      <c r="K71" s="112"/>
      <c r="L71" s="112"/>
      <c r="M71" s="113">
        <f t="shared" si="0"/>
        <v>0</v>
      </c>
      <c r="N71" s="113"/>
      <c r="O71" s="113"/>
      <c r="P71" s="113"/>
      <c r="Q71" s="113">
        <f t="shared" si="1"/>
        <v>0</v>
      </c>
      <c r="R71" s="113"/>
      <c r="S71" s="113"/>
      <c r="T71" s="113"/>
      <c r="U71" s="113">
        <f t="shared" si="2"/>
        <v>0</v>
      </c>
      <c r="V71" s="113"/>
      <c r="W71" s="113">
        <v>1055</v>
      </c>
      <c r="X71" s="84">
        <v>945</v>
      </c>
      <c r="Y71" s="113">
        <f t="shared" si="3"/>
        <v>2000</v>
      </c>
      <c r="Z71" s="94" t="s">
        <v>445</v>
      </c>
    </row>
    <row r="72" spans="1:26" s="114" customFormat="1" ht="75.75" customHeight="1" thickBot="1" x14ac:dyDescent="0.4">
      <c r="A72" s="125" t="s">
        <v>207</v>
      </c>
      <c r="B72" s="184" t="s">
        <v>208</v>
      </c>
      <c r="C72" s="185">
        <f>D72+E72+F72+G72</f>
        <v>7000</v>
      </c>
      <c r="D72" s="186">
        <v>7000</v>
      </c>
      <c r="E72" s="186"/>
      <c r="F72" s="186"/>
      <c r="G72" s="186"/>
      <c r="H72" s="335"/>
      <c r="I72" s="335"/>
      <c r="J72" s="125"/>
      <c r="K72" s="112"/>
      <c r="L72" s="112"/>
      <c r="M72" s="113">
        <f t="shared" si="0"/>
        <v>0</v>
      </c>
      <c r="N72" s="113"/>
      <c r="O72" s="113"/>
      <c r="P72" s="113"/>
      <c r="Q72" s="113">
        <f t="shared" si="1"/>
        <v>0</v>
      </c>
      <c r="R72" s="113"/>
      <c r="S72" s="113"/>
      <c r="T72" s="113"/>
      <c r="U72" s="113">
        <f t="shared" si="2"/>
        <v>0</v>
      </c>
      <c r="V72" s="113"/>
      <c r="W72" s="113"/>
      <c r="X72" s="113"/>
      <c r="Y72" s="113">
        <f t="shared" si="3"/>
        <v>0</v>
      </c>
      <c r="Z72" s="112"/>
    </row>
    <row r="73" spans="1:26" s="114" customFormat="1" ht="45" customHeight="1" x14ac:dyDescent="0.35">
      <c r="A73" s="125"/>
      <c r="B73" s="190" t="s">
        <v>13</v>
      </c>
      <c r="C73" s="196">
        <f t="shared" si="6"/>
        <v>20000</v>
      </c>
      <c r="D73" s="192">
        <f>SUM(D68:D72)</f>
        <v>20000</v>
      </c>
      <c r="E73" s="198"/>
      <c r="F73" s="198"/>
      <c r="G73" s="198"/>
      <c r="H73" s="336"/>
      <c r="I73" s="336"/>
      <c r="J73" s="125"/>
      <c r="K73" s="112"/>
      <c r="L73" s="112"/>
      <c r="M73" s="113">
        <f t="shared" si="0"/>
        <v>0</v>
      </c>
      <c r="N73" s="113"/>
      <c r="O73" s="113"/>
      <c r="P73" s="113"/>
      <c r="Q73" s="113">
        <f t="shared" si="1"/>
        <v>0</v>
      </c>
      <c r="R73" s="113"/>
      <c r="S73" s="113"/>
      <c r="T73" s="113"/>
      <c r="U73" s="113">
        <f t="shared" si="2"/>
        <v>0</v>
      </c>
      <c r="V73" s="113"/>
      <c r="W73" s="113"/>
      <c r="X73" s="113"/>
      <c r="Y73" s="113">
        <f t="shared" si="3"/>
        <v>0</v>
      </c>
      <c r="Z73" s="112"/>
    </row>
    <row r="74" spans="1:26" s="114" customFormat="1" ht="94.5" customHeight="1" x14ac:dyDescent="0.35">
      <c r="A74" s="180">
        <v>10</v>
      </c>
      <c r="B74" s="375" t="s">
        <v>209</v>
      </c>
      <c r="C74" s="376"/>
      <c r="D74" s="376"/>
      <c r="E74" s="376"/>
      <c r="F74" s="376"/>
      <c r="G74" s="377"/>
      <c r="H74" s="334" t="s">
        <v>210</v>
      </c>
      <c r="I74" s="334" t="s">
        <v>124</v>
      </c>
      <c r="J74" s="125"/>
      <c r="K74" s="112"/>
      <c r="L74" s="112"/>
      <c r="M74" s="113">
        <f t="shared" si="0"/>
        <v>0</v>
      </c>
      <c r="N74" s="113"/>
      <c r="O74" s="113"/>
      <c r="P74" s="113"/>
      <c r="Q74" s="113"/>
      <c r="R74" s="113"/>
      <c r="S74" s="113"/>
      <c r="T74" s="113"/>
      <c r="U74" s="113">
        <f t="shared" si="2"/>
        <v>0</v>
      </c>
      <c r="V74" s="113"/>
      <c r="W74" s="113"/>
      <c r="X74" s="113"/>
      <c r="Y74" s="113">
        <f t="shared" si="3"/>
        <v>0</v>
      </c>
      <c r="Z74" s="112"/>
    </row>
    <row r="75" spans="1:26" s="114" customFormat="1" ht="84" customHeight="1" x14ac:dyDescent="0.35">
      <c r="A75" s="125" t="s">
        <v>211</v>
      </c>
      <c r="B75" s="130" t="s">
        <v>126</v>
      </c>
      <c r="C75" s="97">
        <f>D75+E75+F75+G75</f>
        <v>2000</v>
      </c>
      <c r="D75" s="181">
        <v>2000</v>
      </c>
      <c r="E75" s="129"/>
      <c r="F75" s="129"/>
      <c r="G75" s="129"/>
      <c r="H75" s="335"/>
      <c r="I75" s="335"/>
      <c r="J75" s="125"/>
      <c r="K75" s="112"/>
      <c r="L75" s="112"/>
      <c r="M75" s="113">
        <f t="shared" si="0"/>
        <v>0</v>
      </c>
      <c r="N75" s="113"/>
      <c r="O75" s="113"/>
      <c r="P75" s="113"/>
      <c r="Q75" s="113">
        <f t="shared" si="1"/>
        <v>0</v>
      </c>
      <c r="R75" s="182">
        <v>2000</v>
      </c>
      <c r="S75" s="113"/>
      <c r="T75" s="113"/>
      <c r="U75" s="113">
        <f t="shared" si="2"/>
        <v>2000</v>
      </c>
      <c r="V75" s="113"/>
      <c r="W75" s="113"/>
      <c r="X75" s="113"/>
      <c r="Y75" s="113">
        <f t="shared" si="3"/>
        <v>0</v>
      </c>
      <c r="Z75" s="94" t="s">
        <v>348</v>
      </c>
    </row>
    <row r="76" spans="1:26" s="114" customFormat="1" ht="88.5" customHeight="1" x14ac:dyDescent="0.35">
      <c r="A76" s="125" t="s">
        <v>212</v>
      </c>
      <c r="B76" s="126" t="s">
        <v>205</v>
      </c>
      <c r="C76" s="97">
        <f t="shared" si="6"/>
        <v>3000</v>
      </c>
      <c r="D76" s="181">
        <v>3000</v>
      </c>
      <c r="E76" s="129"/>
      <c r="F76" s="129"/>
      <c r="G76" s="129"/>
      <c r="H76" s="335"/>
      <c r="I76" s="335"/>
      <c r="J76" s="125"/>
      <c r="K76" s="112"/>
      <c r="L76" s="112"/>
      <c r="M76" s="113">
        <f t="shared" si="0"/>
        <v>0</v>
      </c>
      <c r="N76" s="113"/>
      <c r="O76" s="113"/>
      <c r="P76" s="113"/>
      <c r="Q76" s="113">
        <f t="shared" si="1"/>
        <v>0</v>
      </c>
      <c r="R76" s="113"/>
      <c r="S76" s="113"/>
      <c r="T76" s="113"/>
      <c r="U76" s="113">
        <f t="shared" si="2"/>
        <v>0</v>
      </c>
      <c r="V76" s="113"/>
      <c r="W76" s="113"/>
      <c r="X76" s="84">
        <v>1972</v>
      </c>
      <c r="Y76" s="113">
        <f t="shared" si="3"/>
        <v>1972</v>
      </c>
      <c r="Z76" s="94" t="s">
        <v>445</v>
      </c>
    </row>
    <row r="77" spans="1:26" s="114" customFormat="1" ht="77.25" customHeight="1" x14ac:dyDescent="0.35">
      <c r="A77" s="204" t="s">
        <v>213</v>
      </c>
      <c r="B77" s="199" t="s">
        <v>214</v>
      </c>
      <c r="C77" s="200">
        <f t="shared" si="6"/>
        <v>4000</v>
      </c>
      <c r="D77" s="201">
        <v>4000</v>
      </c>
      <c r="E77" s="202"/>
      <c r="F77" s="202"/>
      <c r="G77" s="202"/>
      <c r="H77" s="335"/>
      <c r="I77" s="335"/>
      <c r="J77" s="125"/>
      <c r="K77" s="112"/>
      <c r="L77" s="112"/>
      <c r="M77" s="113">
        <f t="shared" si="0"/>
        <v>0</v>
      </c>
      <c r="N77" s="113"/>
      <c r="O77" s="113"/>
      <c r="P77" s="113"/>
      <c r="Q77" s="113">
        <f t="shared" si="1"/>
        <v>0</v>
      </c>
      <c r="R77" s="113"/>
      <c r="S77" s="113"/>
      <c r="T77" s="113"/>
      <c r="U77" s="113">
        <f t="shared" si="2"/>
        <v>0</v>
      </c>
      <c r="V77" s="113"/>
      <c r="W77" s="113"/>
      <c r="X77" s="113">
        <v>1980</v>
      </c>
      <c r="Y77" s="113">
        <f t="shared" si="3"/>
        <v>1980</v>
      </c>
      <c r="Z77" s="94" t="s">
        <v>446</v>
      </c>
    </row>
    <row r="78" spans="1:26" s="114" customFormat="1" ht="81.75" customHeight="1" thickBot="1" x14ac:dyDescent="0.4">
      <c r="A78" s="125" t="s">
        <v>215</v>
      </c>
      <c r="B78" s="184" t="s">
        <v>216</v>
      </c>
      <c r="C78" s="185">
        <f>D78+E78+F78+G78</f>
        <v>1000</v>
      </c>
      <c r="D78" s="186">
        <v>1000</v>
      </c>
      <c r="E78" s="187"/>
      <c r="F78" s="187"/>
      <c r="G78" s="188"/>
      <c r="H78" s="335"/>
      <c r="I78" s="335"/>
      <c r="J78" s="125"/>
      <c r="K78" s="112"/>
      <c r="L78" s="112"/>
      <c r="M78" s="113">
        <f t="shared" si="0"/>
        <v>0</v>
      </c>
      <c r="N78" s="113"/>
      <c r="O78" s="113"/>
      <c r="P78" s="113"/>
      <c r="Q78" s="113">
        <f t="shared" si="1"/>
        <v>0</v>
      </c>
      <c r="R78" s="113"/>
      <c r="S78" s="113"/>
      <c r="T78" s="113"/>
      <c r="U78" s="113">
        <f t="shared" si="2"/>
        <v>0</v>
      </c>
      <c r="V78" s="113"/>
      <c r="W78" s="113"/>
      <c r="X78" s="84"/>
      <c r="Y78" s="113">
        <f t="shared" si="3"/>
        <v>0</v>
      </c>
      <c r="Z78" s="112"/>
    </row>
    <row r="79" spans="1:26" s="114" customFormat="1" ht="54" customHeight="1" x14ac:dyDescent="0.35">
      <c r="A79" s="189"/>
      <c r="B79" s="190" t="s">
        <v>13</v>
      </c>
      <c r="C79" s="196">
        <f>D79+E79+F79+G79</f>
        <v>10000</v>
      </c>
      <c r="D79" s="192">
        <f>SUM(D75:D78)</f>
        <v>10000</v>
      </c>
      <c r="E79" s="193"/>
      <c r="F79" s="193"/>
      <c r="G79" s="193"/>
      <c r="H79" s="336"/>
      <c r="I79" s="336"/>
      <c r="J79" s="125"/>
      <c r="K79" s="112"/>
      <c r="L79" s="112"/>
      <c r="M79" s="113">
        <f t="shared" si="0"/>
        <v>0</v>
      </c>
      <c r="N79" s="113"/>
      <c r="O79" s="113"/>
      <c r="P79" s="113"/>
      <c r="Q79" s="113">
        <f t="shared" si="1"/>
        <v>0</v>
      </c>
      <c r="R79" s="113"/>
      <c r="S79" s="113"/>
      <c r="T79" s="113"/>
      <c r="U79" s="113">
        <f t="shared" si="2"/>
        <v>0</v>
      </c>
      <c r="V79" s="113"/>
      <c r="W79" s="113"/>
      <c r="X79" s="113"/>
      <c r="Y79" s="113">
        <f t="shared" si="3"/>
        <v>0</v>
      </c>
      <c r="Z79" s="112"/>
    </row>
    <row r="80" spans="1:26" s="114" customFormat="1" ht="84" customHeight="1" x14ac:dyDescent="0.35">
      <c r="A80" s="180">
        <v>11</v>
      </c>
      <c r="B80" s="375" t="s">
        <v>217</v>
      </c>
      <c r="C80" s="376"/>
      <c r="D80" s="376"/>
      <c r="E80" s="376"/>
      <c r="F80" s="376"/>
      <c r="G80" s="377"/>
      <c r="H80" s="334" t="s">
        <v>218</v>
      </c>
      <c r="I80" s="334" t="s">
        <v>124</v>
      </c>
      <c r="J80" s="125"/>
      <c r="K80" s="112"/>
      <c r="L80" s="112"/>
      <c r="M80" s="113">
        <f t="shared" ref="M80:M123" si="7">J80+K80+L80</f>
        <v>0</v>
      </c>
      <c r="N80" s="113"/>
      <c r="O80" s="113"/>
      <c r="P80" s="113"/>
      <c r="Q80" s="113"/>
      <c r="R80" s="113"/>
      <c r="S80" s="113"/>
      <c r="T80" s="113"/>
      <c r="U80" s="113">
        <f t="shared" ref="U80:U122" si="8">R80+S80+T80</f>
        <v>0</v>
      </c>
      <c r="V80" s="113"/>
      <c r="W80" s="113"/>
      <c r="X80" s="113"/>
      <c r="Y80" s="113">
        <f t="shared" ref="Y80:Y122" si="9">V80+W80+X80</f>
        <v>0</v>
      </c>
      <c r="Z80" s="112"/>
    </row>
    <row r="81" spans="1:26" s="114" customFormat="1" ht="74.25" customHeight="1" x14ac:dyDescent="0.35">
      <c r="A81" s="125" t="s">
        <v>219</v>
      </c>
      <c r="B81" s="130" t="s">
        <v>126</v>
      </c>
      <c r="C81" s="97">
        <f t="shared" ref="C81:C85" si="10">D81+E81+F81+G81</f>
        <v>7820</v>
      </c>
      <c r="D81" s="181">
        <v>7820</v>
      </c>
      <c r="E81" s="129"/>
      <c r="F81" s="129"/>
      <c r="G81" s="129"/>
      <c r="H81" s="335"/>
      <c r="I81" s="335"/>
      <c r="J81" s="125"/>
      <c r="K81" s="112"/>
      <c r="L81" s="112"/>
      <c r="M81" s="113">
        <f t="shared" si="7"/>
        <v>0</v>
      </c>
      <c r="N81" s="113"/>
      <c r="O81" s="113"/>
      <c r="P81" s="84">
        <v>5160</v>
      </c>
      <c r="Q81" s="113">
        <f t="shared" ref="Q81:Q121" si="11">N81+O81+P81</f>
        <v>5160</v>
      </c>
      <c r="R81" s="113"/>
      <c r="S81" s="113"/>
      <c r="T81" s="113"/>
      <c r="U81" s="113">
        <f t="shared" si="8"/>
        <v>0</v>
      </c>
      <c r="V81" s="113"/>
      <c r="W81" s="113"/>
      <c r="X81" s="113"/>
      <c r="Y81" s="113">
        <f t="shared" si="9"/>
        <v>0</v>
      </c>
      <c r="Z81" s="94" t="s">
        <v>348</v>
      </c>
    </row>
    <row r="82" spans="1:26" s="114" customFormat="1" ht="65.45" customHeight="1" x14ac:dyDescent="0.35">
      <c r="A82" s="125" t="s">
        <v>220</v>
      </c>
      <c r="B82" s="126" t="s">
        <v>14</v>
      </c>
      <c r="C82" s="97">
        <f t="shared" si="10"/>
        <v>780</v>
      </c>
      <c r="D82" s="181">
        <v>780</v>
      </c>
      <c r="E82" s="129"/>
      <c r="F82" s="129"/>
      <c r="G82" s="129"/>
      <c r="H82" s="335"/>
      <c r="I82" s="335"/>
      <c r="J82" s="125"/>
      <c r="K82" s="112"/>
      <c r="L82" s="112"/>
      <c r="M82" s="113">
        <f t="shared" si="7"/>
        <v>0</v>
      </c>
      <c r="N82" s="113"/>
      <c r="O82" s="113"/>
      <c r="P82" s="113"/>
      <c r="Q82" s="113">
        <f t="shared" si="11"/>
        <v>0</v>
      </c>
      <c r="R82" s="113"/>
      <c r="S82" s="113"/>
      <c r="T82" s="113"/>
      <c r="U82" s="113">
        <f t="shared" si="8"/>
        <v>0</v>
      </c>
      <c r="V82" s="113"/>
      <c r="W82" s="113"/>
      <c r="X82" s="113"/>
      <c r="Y82" s="113">
        <f t="shared" si="9"/>
        <v>0</v>
      </c>
      <c r="Z82" s="112"/>
    </row>
    <row r="83" spans="1:26" s="114" customFormat="1" ht="65.45" customHeight="1" x14ac:dyDescent="0.35">
      <c r="A83" s="204" t="s">
        <v>221</v>
      </c>
      <c r="B83" s="205" t="s">
        <v>222</v>
      </c>
      <c r="C83" s="200">
        <f t="shared" si="10"/>
        <v>6150</v>
      </c>
      <c r="D83" s="201">
        <v>6150</v>
      </c>
      <c r="E83" s="202"/>
      <c r="F83" s="202"/>
      <c r="G83" s="202"/>
      <c r="H83" s="335"/>
      <c r="I83" s="335"/>
      <c r="J83" s="125"/>
      <c r="K83" s="112"/>
      <c r="L83" s="112"/>
      <c r="M83" s="113">
        <f t="shared" si="7"/>
        <v>0</v>
      </c>
      <c r="N83" s="113"/>
      <c r="O83" s="113"/>
      <c r="P83" s="113"/>
      <c r="Q83" s="113">
        <f t="shared" si="11"/>
        <v>0</v>
      </c>
      <c r="R83" s="113"/>
      <c r="S83" s="113"/>
      <c r="T83" s="113"/>
      <c r="U83" s="113">
        <f t="shared" si="8"/>
        <v>0</v>
      </c>
      <c r="V83" s="113"/>
      <c r="W83" s="113"/>
      <c r="X83" s="113"/>
      <c r="Y83" s="113">
        <f t="shared" si="9"/>
        <v>0</v>
      </c>
      <c r="Z83" s="112"/>
    </row>
    <row r="84" spans="1:26" s="114" customFormat="1" ht="65.45" customHeight="1" x14ac:dyDescent="0.35">
      <c r="A84" s="204" t="s">
        <v>223</v>
      </c>
      <c r="B84" s="199" t="s">
        <v>224</v>
      </c>
      <c r="C84" s="200">
        <f t="shared" si="10"/>
        <v>1200</v>
      </c>
      <c r="D84" s="201">
        <v>1200</v>
      </c>
      <c r="E84" s="202"/>
      <c r="F84" s="202"/>
      <c r="G84" s="202"/>
      <c r="H84" s="335"/>
      <c r="I84" s="335"/>
      <c r="J84" s="125"/>
      <c r="K84" s="112"/>
      <c r="L84" s="112"/>
      <c r="M84" s="113">
        <f t="shared" si="7"/>
        <v>0</v>
      </c>
      <c r="N84" s="113"/>
      <c r="O84" s="113"/>
      <c r="P84" s="113"/>
      <c r="Q84" s="113">
        <f t="shared" si="11"/>
        <v>0</v>
      </c>
      <c r="R84" s="113"/>
      <c r="S84" s="113"/>
      <c r="T84" s="113"/>
      <c r="U84" s="113">
        <f t="shared" si="8"/>
        <v>0</v>
      </c>
      <c r="V84" s="113"/>
      <c r="W84" s="113"/>
      <c r="X84" s="113"/>
      <c r="Y84" s="113">
        <f t="shared" si="9"/>
        <v>0</v>
      </c>
      <c r="Z84" s="112"/>
    </row>
    <row r="85" spans="1:26" s="114" customFormat="1" ht="65.45" customHeight="1" thickBot="1" x14ac:dyDescent="0.4">
      <c r="A85" s="183" t="s">
        <v>225</v>
      </c>
      <c r="B85" s="184" t="s">
        <v>226</v>
      </c>
      <c r="C85" s="185">
        <f t="shared" si="10"/>
        <v>4050</v>
      </c>
      <c r="D85" s="186">
        <v>4050</v>
      </c>
      <c r="E85" s="187"/>
      <c r="F85" s="187"/>
      <c r="G85" s="188"/>
      <c r="H85" s="335"/>
      <c r="I85" s="335"/>
      <c r="J85" s="125"/>
      <c r="K85" s="112"/>
      <c r="L85" s="112"/>
      <c r="M85" s="113">
        <f t="shared" si="7"/>
        <v>0</v>
      </c>
      <c r="N85" s="113"/>
      <c r="O85" s="84">
        <v>4000</v>
      </c>
      <c r="P85" s="113"/>
      <c r="Q85" s="113">
        <f t="shared" si="11"/>
        <v>4000</v>
      </c>
      <c r="R85" s="113"/>
      <c r="S85" s="113"/>
      <c r="T85" s="113"/>
      <c r="U85" s="113">
        <f t="shared" si="8"/>
        <v>0</v>
      </c>
      <c r="V85" s="113"/>
      <c r="W85" s="113"/>
      <c r="X85" s="113"/>
      <c r="Y85" s="113">
        <f t="shared" si="9"/>
        <v>0</v>
      </c>
      <c r="Z85" s="94" t="s">
        <v>353</v>
      </c>
    </row>
    <row r="86" spans="1:26" s="114" customFormat="1" ht="45" customHeight="1" x14ac:dyDescent="0.35">
      <c r="A86" s="189"/>
      <c r="B86" s="190" t="s">
        <v>13</v>
      </c>
      <c r="C86" s="196">
        <f>D86+E86+F86+G86</f>
        <v>20000</v>
      </c>
      <c r="D86" s="192">
        <f>SUM(D81:D85)</f>
        <v>20000</v>
      </c>
      <c r="E86" s="193"/>
      <c r="F86" s="193"/>
      <c r="G86" s="193"/>
      <c r="H86" s="336"/>
      <c r="I86" s="336"/>
      <c r="J86" s="125"/>
      <c r="K86" s="112"/>
      <c r="L86" s="112"/>
      <c r="M86" s="113">
        <f t="shared" si="7"/>
        <v>0</v>
      </c>
      <c r="N86" s="113"/>
      <c r="O86" s="113"/>
      <c r="P86" s="113"/>
      <c r="Q86" s="113">
        <f t="shared" si="11"/>
        <v>0</v>
      </c>
      <c r="R86" s="113"/>
      <c r="S86" s="113"/>
      <c r="T86" s="113"/>
      <c r="U86" s="113">
        <f t="shared" si="8"/>
        <v>0</v>
      </c>
      <c r="V86" s="113"/>
      <c r="W86" s="113"/>
      <c r="X86" s="113"/>
      <c r="Y86" s="113">
        <f t="shared" si="9"/>
        <v>0</v>
      </c>
      <c r="Z86" s="112"/>
    </row>
    <row r="87" spans="1:26" s="114" customFormat="1" ht="50.25" customHeight="1" x14ac:dyDescent="0.35">
      <c r="A87" s="180">
        <v>12</v>
      </c>
      <c r="B87" s="375" t="s">
        <v>274</v>
      </c>
      <c r="C87" s="376"/>
      <c r="D87" s="376"/>
      <c r="E87" s="376"/>
      <c r="F87" s="376"/>
      <c r="G87" s="377"/>
      <c r="H87" s="334" t="s">
        <v>227</v>
      </c>
      <c r="I87" s="334" t="s">
        <v>124</v>
      </c>
      <c r="J87" s="125"/>
      <c r="K87" s="112"/>
      <c r="L87" s="112"/>
      <c r="M87" s="113">
        <f t="shared" si="7"/>
        <v>0</v>
      </c>
      <c r="N87" s="113"/>
      <c r="O87" s="113"/>
      <c r="P87" s="113"/>
      <c r="Q87" s="113"/>
      <c r="R87" s="113"/>
      <c r="S87" s="113"/>
      <c r="T87" s="113"/>
      <c r="U87" s="113">
        <f t="shared" si="8"/>
        <v>0</v>
      </c>
      <c r="V87" s="113"/>
      <c r="W87" s="113"/>
      <c r="X87" s="113"/>
      <c r="Y87" s="113">
        <f t="shared" si="9"/>
        <v>0</v>
      </c>
      <c r="Z87" s="112"/>
    </row>
    <row r="88" spans="1:26" s="114" customFormat="1" ht="54" x14ac:dyDescent="0.35">
      <c r="A88" s="125" t="s">
        <v>228</v>
      </c>
      <c r="B88" s="130" t="s">
        <v>126</v>
      </c>
      <c r="C88" s="97">
        <f t="shared" ref="C88:C89" si="12">D88+E88+F88+G88</f>
        <v>4000</v>
      </c>
      <c r="D88" s="181">
        <v>4000</v>
      </c>
      <c r="E88" s="129"/>
      <c r="F88" s="129"/>
      <c r="G88" s="129"/>
      <c r="H88" s="335"/>
      <c r="I88" s="335"/>
      <c r="J88" s="125"/>
      <c r="K88" s="112"/>
      <c r="L88" s="112"/>
      <c r="M88" s="113">
        <f t="shared" si="7"/>
        <v>0</v>
      </c>
      <c r="N88" s="113"/>
      <c r="O88" s="113"/>
      <c r="P88" s="84">
        <v>2000</v>
      </c>
      <c r="Q88" s="113">
        <f t="shared" si="11"/>
        <v>2000</v>
      </c>
      <c r="R88" s="113"/>
      <c r="S88" s="113"/>
      <c r="T88" s="113"/>
      <c r="U88" s="113">
        <f t="shared" si="8"/>
        <v>0</v>
      </c>
      <c r="V88" s="113"/>
      <c r="W88" s="84">
        <v>2000</v>
      </c>
      <c r="X88" s="113"/>
      <c r="Y88" s="113">
        <f t="shared" si="9"/>
        <v>2000</v>
      </c>
      <c r="Z88" s="94" t="s">
        <v>348</v>
      </c>
    </row>
    <row r="89" spans="1:26" s="114" customFormat="1" ht="54" x14ac:dyDescent="0.35">
      <c r="A89" s="125" t="s">
        <v>229</v>
      </c>
      <c r="B89" s="126" t="s">
        <v>230</v>
      </c>
      <c r="C89" s="97">
        <f t="shared" si="12"/>
        <v>6000</v>
      </c>
      <c r="D89" s="181">
        <v>6000</v>
      </c>
      <c r="E89" s="129"/>
      <c r="F89" s="129"/>
      <c r="G89" s="129"/>
      <c r="H89" s="335"/>
      <c r="I89" s="335"/>
      <c r="J89" s="125"/>
      <c r="K89" s="112"/>
      <c r="L89" s="112"/>
      <c r="M89" s="113">
        <f t="shared" si="7"/>
        <v>0</v>
      </c>
      <c r="N89" s="84">
        <v>1545.88</v>
      </c>
      <c r="O89" s="84">
        <v>304.07999999999993</v>
      </c>
      <c r="P89" s="113"/>
      <c r="Q89" s="113">
        <f t="shared" si="11"/>
        <v>1849.96</v>
      </c>
      <c r="R89" s="182">
        <v>4000</v>
      </c>
      <c r="S89" s="113"/>
      <c r="T89" s="113"/>
      <c r="U89" s="113">
        <f t="shared" si="8"/>
        <v>4000</v>
      </c>
      <c r="V89" s="113"/>
      <c r="W89" s="113"/>
      <c r="X89" s="113"/>
      <c r="Y89" s="113">
        <f t="shared" si="9"/>
        <v>0</v>
      </c>
      <c r="Z89" s="94" t="s">
        <v>354</v>
      </c>
    </row>
    <row r="90" spans="1:26" s="114" customFormat="1" ht="36" customHeight="1" x14ac:dyDescent="0.35">
      <c r="A90" s="189"/>
      <c r="B90" s="190" t="s">
        <v>13</v>
      </c>
      <c r="C90" s="196">
        <f>D90+E90+F90+G90</f>
        <v>10000</v>
      </c>
      <c r="D90" s="192">
        <f>SUM(D88:D89)</f>
        <v>10000</v>
      </c>
      <c r="E90" s="193"/>
      <c r="F90" s="193"/>
      <c r="G90" s="193"/>
      <c r="H90" s="336"/>
      <c r="I90" s="336"/>
      <c r="J90" s="125"/>
      <c r="K90" s="112"/>
      <c r="L90" s="112"/>
      <c r="M90" s="113">
        <f t="shared" si="7"/>
        <v>0</v>
      </c>
      <c r="N90" s="113"/>
      <c r="O90" s="113"/>
      <c r="P90" s="113"/>
      <c r="Q90" s="113">
        <f t="shared" si="11"/>
        <v>0</v>
      </c>
      <c r="R90" s="113"/>
      <c r="S90" s="113"/>
      <c r="T90" s="113"/>
      <c r="U90" s="113">
        <f t="shared" si="8"/>
        <v>0</v>
      </c>
      <c r="V90" s="113"/>
      <c r="W90" s="113"/>
      <c r="X90" s="113"/>
      <c r="Y90" s="113">
        <f t="shared" si="9"/>
        <v>0</v>
      </c>
      <c r="Z90" s="112"/>
    </row>
    <row r="91" spans="1:26" s="114" customFormat="1" ht="50.25" customHeight="1" x14ac:dyDescent="0.35">
      <c r="A91" s="180">
        <v>13</v>
      </c>
      <c r="B91" s="375" t="s">
        <v>231</v>
      </c>
      <c r="C91" s="376"/>
      <c r="D91" s="376"/>
      <c r="E91" s="376"/>
      <c r="F91" s="376"/>
      <c r="G91" s="377"/>
      <c r="H91" s="334" t="s">
        <v>232</v>
      </c>
      <c r="I91" s="334" t="s">
        <v>124</v>
      </c>
      <c r="J91" s="125"/>
      <c r="K91" s="112"/>
      <c r="L91" s="112"/>
      <c r="M91" s="113">
        <f t="shared" si="7"/>
        <v>0</v>
      </c>
      <c r="N91" s="113"/>
      <c r="O91" s="113"/>
      <c r="P91" s="113"/>
      <c r="Q91" s="113"/>
      <c r="R91" s="113"/>
      <c r="S91" s="113"/>
      <c r="T91" s="113"/>
      <c r="U91" s="113">
        <f t="shared" si="8"/>
        <v>0</v>
      </c>
      <c r="V91" s="113"/>
      <c r="W91" s="113"/>
      <c r="X91" s="113"/>
      <c r="Y91" s="113">
        <f t="shared" si="9"/>
        <v>0</v>
      </c>
      <c r="Z91" s="112"/>
    </row>
    <row r="92" spans="1:26" s="114" customFormat="1" ht="54" x14ac:dyDescent="0.35">
      <c r="A92" s="125" t="s">
        <v>233</v>
      </c>
      <c r="B92" s="126" t="s">
        <v>126</v>
      </c>
      <c r="C92" s="97">
        <f t="shared" ref="C92:C95" si="13">D92+E92+F92+G92</f>
        <v>4000</v>
      </c>
      <c r="D92" s="128">
        <v>4000</v>
      </c>
      <c r="E92" s="128"/>
      <c r="F92" s="128"/>
      <c r="G92" s="128"/>
      <c r="H92" s="335"/>
      <c r="I92" s="335"/>
      <c r="J92" s="125"/>
      <c r="K92" s="112"/>
      <c r="L92" s="112"/>
      <c r="M92" s="113">
        <f t="shared" si="7"/>
        <v>0</v>
      </c>
      <c r="N92" s="113"/>
      <c r="O92" s="113"/>
      <c r="P92" s="113"/>
      <c r="Q92" s="113">
        <f t="shared" si="11"/>
        <v>0</v>
      </c>
      <c r="R92" s="182">
        <v>2000</v>
      </c>
      <c r="S92" s="113"/>
      <c r="T92" s="113"/>
      <c r="U92" s="113">
        <f t="shared" si="8"/>
        <v>2000</v>
      </c>
      <c r="V92" s="113"/>
      <c r="W92" s="84">
        <v>2000</v>
      </c>
      <c r="X92" s="113"/>
      <c r="Y92" s="113">
        <f t="shared" si="9"/>
        <v>2000</v>
      </c>
      <c r="Z92" s="94" t="s">
        <v>348</v>
      </c>
    </row>
    <row r="93" spans="1:26" s="114" customFormat="1" ht="36" x14ac:dyDescent="0.35">
      <c r="A93" s="125" t="s">
        <v>234</v>
      </c>
      <c r="B93" s="126" t="s">
        <v>235</v>
      </c>
      <c r="C93" s="97">
        <f t="shared" si="13"/>
        <v>3000</v>
      </c>
      <c r="D93" s="128">
        <f>2000+1000</f>
        <v>3000</v>
      </c>
      <c r="E93" s="128"/>
      <c r="F93" s="128"/>
      <c r="G93" s="128"/>
      <c r="H93" s="335"/>
      <c r="I93" s="335"/>
      <c r="J93" s="125"/>
      <c r="K93" s="112"/>
      <c r="L93" s="112"/>
      <c r="M93" s="113">
        <f t="shared" si="7"/>
        <v>0</v>
      </c>
      <c r="N93" s="113"/>
      <c r="O93" s="84">
        <v>3000</v>
      </c>
      <c r="P93" s="113"/>
      <c r="Q93" s="113">
        <f t="shared" si="11"/>
        <v>3000</v>
      </c>
      <c r="R93" s="113"/>
      <c r="S93" s="113"/>
      <c r="T93" s="113">
        <v>-12</v>
      </c>
      <c r="U93" s="113">
        <f t="shared" si="8"/>
        <v>-12</v>
      </c>
      <c r="V93" s="113"/>
      <c r="W93" s="113"/>
      <c r="X93" s="113"/>
      <c r="Y93" s="113">
        <f t="shared" si="9"/>
        <v>0</v>
      </c>
      <c r="Z93" s="94" t="s">
        <v>292</v>
      </c>
    </row>
    <row r="94" spans="1:26" s="114" customFormat="1" ht="65.25" customHeight="1" x14ac:dyDescent="0.35">
      <c r="A94" s="125" t="s">
        <v>236</v>
      </c>
      <c r="B94" s="126" t="s">
        <v>272</v>
      </c>
      <c r="C94" s="97">
        <f t="shared" si="13"/>
        <v>3000</v>
      </c>
      <c r="D94" s="128">
        <v>3000</v>
      </c>
      <c r="E94" s="128"/>
      <c r="F94" s="128"/>
      <c r="G94" s="128"/>
      <c r="H94" s="335"/>
      <c r="I94" s="335"/>
      <c r="J94" s="125"/>
      <c r="K94" s="112"/>
      <c r="L94" s="112"/>
      <c r="M94" s="113">
        <f t="shared" si="7"/>
        <v>0</v>
      </c>
      <c r="N94" s="113"/>
      <c r="O94" s="113"/>
      <c r="P94" s="113"/>
      <c r="Q94" s="113">
        <f t="shared" si="11"/>
        <v>0</v>
      </c>
      <c r="R94" s="113"/>
      <c r="S94" s="113"/>
      <c r="T94" s="113"/>
      <c r="U94" s="113">
        <f t="shared" si="8"/>
        <v>0</v>
      </c>
      <c r="V94" s="113"/>
      <c r="W94" s="113"/>
      <c r="X94" s="84">
        <v>915</v>
      </c>
      <c r="Y94" s="113">
        <f t="shared" si="9"/>
        <v>915</v>
      </c>
      <c r="Z94" s="94" t="s">
        <v>447</v>
      </c>
    </row>
    <row r="95" spans="1:26" s="114" customFormat="1" ht="65.25" customHeight="1" x14ac:dyDescent="0.35">
      <c r="A95" s="125" t="s">
        <v>271</v>
      </c>
      <c r="B95" s="126" t="s">
        <v>273</v>
      </c>
      <c r="C95" s="97">
        <f t="shared" si="13"/>
        <v>0</v>
      </c>
      <c r="D95" s="128">
        <v>0</v>
      </c>
      <c r="E95" s="128"/>
      <c r="F95" s="128"/>
      <c r="G95" s="128"/>
      <c r="H95" s="335"/>
      <c r="I95" s="335"/>
      <c r="J95" s="125"/>
      <c r="K95" s="112"/>
      <c r="L95" s="112"/>
      <c r="M95" s="113">
        <f t="shared" si="7"/>
        <v>0</v>
      </c>
      <c r="N95" s="113"/>
      <c r="O95" s="113"/>
      <c r="P95" s="113"/>
      <c r="Q95" s="113">
        <f t="shared" si="11"/>
        <v>0</v>
      </c>
      <c r="R95" s="113"/>
      <c r="S95" s="113"/>
      <c r="T95" s="113"/>
      <c r="U95" s="113">
        <f t="shared" si="8"/>
        <v>0</v>
      </c>
      <c r="V95" s="113"/>
      <c r="W95" s="113"/>
      <c r="X95" s="113"/>
      <c r="Y95" s="113">
        <f t="shared" si="9"/>
        <v>0</v>
      </c>
      <c r="Z95" s="112"/>
    </row>
    <row r="96" spans="1:26" s="114" customFormat="1" ht="39" customHeight="1" x14ac:dyDescent="0.35">
      <c r="A96" s="125"/>
      <c r="B96" s="206" t="s">
        <v>13</v>
      </c>
      <c r="C96" s="191">
        <f>D96+E96+F96+G96</f>
        <v>10000</v>
      </c>
      <c r="D96" s="207">
        <f>SUM(D92:D95)</f>
        <v>10000</v>
      </c>
      <c r="E96" s="208"/>
      <c r="F96" s="208"/>
      <c r="G96" s="208"/>
      <c r="H96" s="336"/>
      <c r="I96" s="336"/>
      <c r="J96" s="125"/>
      <c r="K96" s="112"/>
      <c r="L96" s="112"/>
      <c r="M96" s="113">
        <f t="shared" si="7"/>
        <v>0</v>
      </c>
      <c r="N96" s="113"/>
      <c r="O96" s="113"/>
      <c r="P96" s="113"/>
      <c r="Q96" s="113">
        <f t="shared" si="11"/>
        <v>0</v>
      </c>
      <c r="R96" s="113"/>
      <c r="S96" s="113"/>
      <c r="T96" s="113"/>
      <c r="U96" s="113">
        <f t="shared" si="8"/>
        <v>0</v>
      </c>
      <c r="V96" s="113"/>
      <c r="W96" s="113"/>
      <c r="X96" s="113"/>
      <c r="Y96" s="113">
        <f t="shared" si="9"/>
        <v>0</v>
      </c>
      <c r="Z96" s="112"/>
    </row>
    <row r="97" spans="1:26" s="114" customFormat="1" ht="50.25" customHeight="1" x14ac:dyDescent="0.35">
      <c r="A97" s="180">
        <v>14</v>
      </c>
      <c r="B97" s="375" t="s">
        <v>237</v>
      </c>
      <c r="C97" s="376"/>
      <c r="D97" s="376"/>
      <c r="E97" s="376"/>
      <c r="F97" s="376"/>
      <c r="G97" s="377"/>
      <c r="H97" s="334" t="s">
        <v>238</v>
      </c>
      <c r="I97" s="334" t="s">
        <v>124</v>
      </c>
      <c r="J97" s="125"/>
      <c r="K97" s="112"/>
      <c r="L97" s="112"/>
      <c r="M97" s="113">
        <f t="shared" si="7"/>
        <v>0</v>
      </c>
      <c r="N97" s="113"/>
      <c r="O97" s="113"/>
      <c r="P97" s="113"/>
      <c r="Q97" s="113"/>
      <c r="R97" s="113"/>
      <c r="S97" s="113"/>
      <c r="T97" s="113"/>
      <c r="U97" s="113">
        <f t="shared" si="8"/>
        <v>0</v>
      </c>
      <c r="V97" s="113"/>
      <c r="W97" s="113"/>
      <c r="X97" s="113"/>
      <c r="Y97" s="113">
        <f t="shared" si="9"/>
        <v>0</v>
      </c>
      <c r="Z97" s="112"/>
    </row>
    <row r="98" spans="1:26" s="114" customFormat="1" ht="65.25" customHeight="1" x14ac:dyDescent="0.35">
      <c r="A98" s="125" t="s">
        <v>239</v>
      </c>
      <c r="B98" s="130" t="s">
        <v>126</v>
      </c>
      <c r="C98" s="97">
        <f t="shared" ref="C98:C100" si="14">D98+E98+F98+G98</f>
        <v>6000</v>
      </c>
      <c r="D98" s="181">
        <v>6000</v>
      </c>
      <c r="E98" s="129"/>
      <c r="F98" s="129"/>
      <c r="G98" s="129"/>
      <c r="H98" s="335"/>
      <c r="I98" s="335"/>
      <c r="J98" s="125"/>
      <c r="K98" s="112"/>
      <c r="L98" s="112"/>
      <c r="M98" s="113">
        <f t="shared" si="7"/>
        <v>0</v>
      </c>
      <c r="N98" s="113"/>
      <c r="O98" s="113"/>
      <c r="P98" s="113"/>
      <c r="Q98" s="113">
        <f t="shared" si="11"/>
        <v>0</v>
      </c>
      <c r="R98" s="113"/>
      <c r="S98" s="113"/>
      <c r="T98" s="113"/>
      <c r="U98" s="113">
        <f t="shared" si="8"/>
        <v>0</v>
      </c>
      <c r="V98" s="113"/>
      <c r="W98" s="113"/>
      <c r="X98" s="84">
        <v>6000</v>
      </c>
      <c r="Y98" s="113">
        <f t="shared" si="9"/>
        <v>6000</v>
      </c>
      <c r="Z98" s="94" t="s">
        <v>348</v>
      </c>
    </row>
    <row r="99" spans="1:26" s="114" customFormat="1" ht="65.25" customHeight="1" x14ac:dyDescent="0.35">
      <c r="A99" s="125" t="s">
        <v>240</v>
      </c>
      <c r="B99" s="126" t="s">
        <v>14</v>
      </c>
      <c r="C99" s="97">
        <f t="shared" si="14"/>
        <v>9100</v>
      </c>
      <c r="D99" s="181">
        <v>9100</v>
      </c>
      <c r="E99" s="129"/>
      <c r="F99" s="129"/>
      <c r="G99" s="129"/>
      <c r="H99" s="335"/>
      <c r="I99" s="335"/>
      <c r="J99" s="125"/>
      <c r="K99" s="112"/>
      <c r="L99" s="112"/>
      <c r="M99" s="113">
        <f t="shared" si="7"/>
        <v>0</v>
      </c>
      <c r="N99" s="113"/>
      <c r="O99" s="84">
        <v>1700</v>
      </c>
      <c r="P99" s="113"/>
      <c r="Q99" s="113">
        <f t="shared" si="11"/>
        <v>1700</v>
      </c>
      <c r="R99" s="182">
        <v>6586.2999999999993</v>
      </c>
      <c r="S99" s="113"/>
      <c r="T99" s="182"/>
      <c r="U99" s="113">
        <f t="shared" si="8"/>
        <v>6586.2999999999993</v>
      </c>
      <c r="V99" s="113"/>
      <c r="W99" s="113"/>
      <c r="X99" s="113"/>
      <c r="Y99" s="113">
        <f t="shared" si="9"/>
        <v>0</v>
      </c>
      <c r="Z99" s="94" t="s">
        <v>349</v>
      </c>
    </row>
    <row r="100" spans="1:26" s="114" customFormat="1" ht="65.25" customHeight="1" x14ac:dyDescent="0.35">
      <c r="A100" s="125" t="s">
        <v>241</v>
      </c>
      <c r="B100" s="126" t="s">
        <v>242</v>
      </c>
      <c r="C100" s="97">
        <f t="shared" si="14"/>
        <v>4800</v>
      </c>
      <c r="D100" s="181">
        <v>4800</v>
      </c>
      <c r="E100" s="128"/>
      <c r="F100" s="128"/>
      <c r="G100" s="128"/>
      <c r="H100" s="335"/>
      <c r="I100" s="335"/>
      <c r="J100" s="125"/>
      <c r="K100" s="112"/>
      <c r="L100" s="112"/>
      <c r="M100" s="113">
        <f t="shared" si="7"/>
        <v>0</v>
      </c>
      <c r="N100" s="113"/>
      <c r="O100" s="113"/>
      <c r="P100" s="113"/>
      <c r="Q100" s="113">
        <f t="shared" si="11"/>
        <v>0</v>
      </c>
      <c r="R100" s="113"/>
      <c r="S100" s="113"/>
      <c r="T100" s="182">
        <v>3730</v>
      </c>
      <c r="U100" s="113">
        <f t="shared" si="8"/>
        <v>3730</v>
      </c>
      <c r="V100" s="85">
        <v>1070</v>
      </c>
      <c r="W100" s="113"/>
      <c r="X100" s="113"/>
      <c r="Y100" s="113">
        <f t="shared" si="9"/>
        <v>1070</v>
      </c>
      <c r="Z100" s="94" t="s">
        <v>413</v>
      </c>
    </row>
    <row r="101" spans="1:26" s="114" customFormat="1" ht="38.25" customHeight="1" x14ac:dyDescent="0.35">
      <c r="A101" s="189"/>
      <c r="B101" s="190" t="s">
        <v>13</v>
      </c>
      <c r="C101" s="196">
        <f>D101+E101+F101+G101</f>
        <v>19900</v>
      </c>
      <c r="D101" s="192">
        <f>SUM(D98:D100)</f>
        <v>19900</v>
      </c>
      <c r="E101" s="193"/>
      <c r="F101" s="193"/>
      <c r="G101" s="193"/>
      <c r="H101" s="336"/>
      <c r="I101" s="336"/>
      <c r="J101" s="125"/>
      <c r="K101" s="112"/>
      <c r="L101" s="112"/>
      <c r="M101" s="113">
        <f t="shared" si="7"/>
        <v>0</v>
      </c>
      <c r="N101" s="113"/>
      <c r="O101" s="113"/>
      <c r="P101" s="113"/>
      <c r="Q101" s="113">
        <f t="shared" si="11"/>
        <v>0</v>
      </c>
      <c r="R101" s="113"/>
      <c r="S101" s="113"/>
      <c r="T101" s="113"/>
      <c r="U101" s="113">
        <f t="shared" si="8"/>
        <v>0</v>
      </c>
      <c r="V101" s="113"/>
      <c r="W101" s="113"/>
      <c r="X101" s="113"/>
      <c r="Y101" s="113">
        <f t="shared" si="9"/>
        <v>0</v>
      </c>
      <c r="Z101" s="112"/>
    </row>
    <row r="102" spans="1:26" s="114" customFormat="1" ht="50.25" customHeight="1" x14ac:dyDescent="0.35">
      <c r="A102" s="180">
        <v>15</v>
      </c>
      <c r="B102" s="375" t="s">
        <v>243</v>
      </c>
      <c r="C102" s="376"/>
      <c r="D102" s="376"/>
      <c r="E102" s="376"/>
      <c r="F102" s="376"/>
      <c r="G102" s="377"/>
      <c r="H102" s="334" t="s">
        <v>244</v>
      </c>
      <c r="I102" s="334" t="s">
        <v>124</v>
      </c>
      <c r="J102" s="125"/>
      <c r="K102" s="112"/>
      <c r="L102" s="112"/>
      <c r="M102" s="113">
        <f t="shared" si="7"/>
        <v>0</v>
      </c>
      <c r="N102" s="113"/>
      <c r="O102" s="113"/>
      <c r="P102" s="113"/>
      <c r="Q102" s="113"/>
      <c r="R102" s="113"/>
      <c r="S102" s="113"/>
      <c r="T102" s="113"/>
      <c r="U102" s="113">
        <f t="shared" si="8"/>
        <v>0</v>
      </c>
      <c r="V102" s="113"/>
      <c r="W102" s="113"/>
      <c r="X102" s="113"/>
      <c r="Y102" s="113">
        <f t="shared" si="9"/>
        <v>0</v>
      </c>
      <c r="Z102" s="112"/>
    </row>
    <row r="103" spans="1:26" s="114" customFormat="1" ht="65.25" customHeight="1" x14ac:dyDescent="0.35">
      <c r="A103" s="125" t="s">
        <v>245</v>
      </c>
      <c r="B103" s="130" t="s">
        <v>126</v>
      </c>
      <c r="C103" s="97">
        <f t="shared" ref="C103:C106" si="15">D103+E103+F103+G103</f>
        <v>3950</v>
      </c>
      <c r="D103" s="181">
        <f>4700-750</f>
        <v>3950</v>
      </c>
      <c r="E103" s="129"/>
      <c r="F103" s="129"/>
      <c r="G103" s="129"/>
      <c r="H103" s="335"/>
      <c r="I103" s="335"/>
      <c r="J103" s="125"/>
      <c r="K103" s="112"/>
      <c r="L103" s="112"/>
      <c r="M103" s="113">
        <f t="shared" si="7"/>
        <v>0</v>
      </c>
      <c r="N103" s="113"/>
      <c r="O103" s="113"/>
      <c r="P103" s="113"/>
      <c r="Q103" s="113">
        <f t="shared" si="11"/>
        <v>0</v>
      </c>
      <c r="R103" s="113"/>
      <c r="S103" s="113"/>
      <c r="T103" s="113"/>
      <c r="U103" s="113">
        <f t="shared" si="8"/>
        <v>0</v>
      </c>
      <c r="V103" s="85">
        <v>1975</v>
      </c>
      <c r="W103" s="113"/>
      <c r="X103" s="113"/>
      <c r="Y103" s="113">
        <f t="shared" si="9"/>
        <v>1975</v>
      </c>
      <c r="Z103" s="94" t="s">
        <v>348</v>
      </c>
    </row>
    <row r="104" spans="1:26" s="114" customFormat="1" ht="65.25" customHeight="1" x14ac:dyDescent="0.35">
      <c r="A104" s="125" t="s">
        <v>246</v>
      </c>
      <c r="B104" s="126" t="s">
        <v>128</v>
      </c>
      <c r="C104" s="97">
        <f t="shared" si="15"/>
        <v>5000</v>
      </c>
      <c r="D104" s="181">
        <v>5000</v>
      </c>
      <c r="E104" s="128"/>
      <c r="F104" s="128"/>
      <c r="G104" s="128"/>
      <c r="H104" s="335"/>
      <c r="I104" s="335"/>
      <c r="J104" s="125"/>
      <c r="K104" s="112"/>
      <c r="L104" s="112"/>
      <c r="M104" s="113">
        <f t="shared" si="7"/>
        <v>0</v>
      </c>
      <c r="N104" s="113"/>
      <c r="O104" s="84">
        <v>31.114999999999998</v>
      </c>
      <c r="P104" s="113"/>
      <c r="Q104" s="113">
        <f t="shared" si="11"/>
        <v>31.114999999999998</v>
      </c>
      <c r="R104" s="182">
        <v>20.499999999999996</v>
      </c>
      <c r="S104" s="182">
        <v>21.54000000000001</v>
      </c>
      <c r="T104" s="113"/>
      <c r="U104" s="113">
        <f t="shared" si="8"/>
        <v>42.040000000000006</v>
      </c>
      <c r="V104" s="85">
        <v>159</v>
      </c>
      <c r="W104" s="113"/>
      <c r="X104" s="113"/>
      <c r="Y104" s="113">
        <f t="shared" si="9"/>
        <v>159</v>
      </c>
      <c r="Z104" s="94" t="s">
        <v>351</v>
      </c>
    </row>
    <row r="105" spans="1:26" s="114" customFormat="1" ht="65.25" customHeight="1" x14ac:dyDescent="0.35">
      <c r="A105" s="125" t="s">
        <v>247</v>
      </c>
      <c r="B105" s="126" t="s">
        <v>130</v>
      </c>
      <c r="C105" s="97">
        <f t="shared" si="15"/>
        <v>10000</v>
      </c>
      <c r="D105" s="181">
        <v>10000</v>
      </c>
      <c r="E105" s="128"/>
      <c r="F105" s="128"/>
      <c r="G105" s="128"/>
      <c r="H105" s="335"/>
      <c r="I105" s="335"/>
      <c r="J105" s="125"/>
      <c r="K105" s="112"/>
      <c r="L105" s="112"/>
      <c r="M105" s="113">
        <f t="shared" si="7"/>
        <v>0</v>
      </c>
      <c r="N105" s="113"/>
      <c r="O105" s="113"/>
      <c r="P105" s="113"/>
      <c r="Q105" s="113">
        <f t="shared" si="11"/>
        <v>0</v>
      </c>
      <c r="R105" s="113"/>
      <c r="S105" s="113"/>
      <c r="T105" s="113"/>
      <c r="U105" s="113">
        <f t="shared" si="8"/>
        <v>0</v>
      </c>
      <c r="V105" s="85">
        <v>2006</v>
      </c>
      <c r="W105" s="113"/>
      <c r="X105" s="84">
        <v>700</v>
      </c>
      <c r="Y105" s="113">
        <f t="shared" si="9"/>
        <v>2706</v>
      </c>
      <c r="Z105" s="94" t="s">
        <v>448</v>
      </c>
    </row>
    <row r="106" spans="1:26" s="114" customFormat="1" ht="65.25" customHeight="1" x14ac:dyDescent="0.35">
      <c r="A106" s="189" t="s">
        <v>248</v>
      </c>
      <c r="B106" s="209" t="s">
        <v>267</v>
      </c>
      <c r="C106" s="97">
        <f t="shared" si="15"/>
        <v>750</v>
      </c>
      <c r="D106" s="181">
        <v>750</v>
      </c>
      <c r="E106" s="210"/>
      <c r="F106" s="210"/>
      <c r="G106" s="210"/>
      <c r="H106" s="335"/>
      <c r="I106" s="335"/>
      <c r="J106" s="125"/>
      <c r="K106" s="112"/>
      <c r="L106" s="112"/>
      <c r="M106" s="113">
        <f t="shared" si="7"/>
        <v>0</v>
      </c>
      <c r="N106" s="113"/>
      <c r="O106" s="113"/>
      <c r="P106" s="113"/>
      <c r="Q106" s="113">
        <f t="shared" si="11"/>
        <v>0</v>
      </c>
      <c r="R106" s="113"/>
      <c r="S106" s="113"/>
      <c r="T106" s="113"/>
      <c r="U106" s="113">
        <f t="shared" si="8"/>
        <v>0</v>
      </c>
      <c r="V106" s="113"/>
      <c r="W106" s="113"/>
      <c r="X106" s="113"/>
      <c r="Y106" s="113">
        <f t="shared" si="9"/>
        <v>0</v>
      </c>
      <c r="Z106" s="112"/>
    </row>
    <row r="107" spans="1:26" s="114" customFormat="1" ht="39" customHeight="1" x14ac:dyDescent="0.35">
      <c r="A107" s="189"/>
      <c r="B107" s="190" t="s">
        <v>13</v>
      </c>
      <c r="C107" s="196">
        <f>D107+E107+F107+G107</f>
        <v>19700</v>
      </c>
      <c r="D107" s="192">
        <f>SUM(D103:D106)</f>
        <v>19700</v>
      </c>
      <c r="E107" s="193"/>
      <c r="F107" s="193"/>
      <c r="G107" s="193"/>
      <c r="H107" s="336"/>
      <c r="I107" s="336"/>
      <c r="J107" s="125"/>
      <c r="K107" s="112"/>
      <c r="L107" s="112"/>
      <c r="M107" s="113">
        <f t="shared" si="7"/>
        <v>0</v>
      </c>
      <c r="N107" s="113"/>
      <c r="O107" s="113"/>
      <c r="P107" s="113"/>
      <c r="Q107" s="113">
        <f t="shared" si="11"/>
        <v>0</v>
      </c>
      <c r="R107" s="113"/>
      <c r="S107" s="113"/>
      <c r="T107" s="113"/>
      <c r="U107" s="113">
        <f t="shared" si="8"/>
        <v>0</v>
      </c>
      <c r="V107" s="113"/>
      <c r="W107" s="113"/>
      <c r="X107" s="113"/>
      <c r="Y107" s="113">
        <f t="shared" si="9"/>
        <v>0</v>
      </c>
      <c r="Z107" s="112"/>
    </row>
    <row r="108" spans="1:26" s="114" customFormat="1" ht="50.25" customHeight="1" x14ac:dyDescent="0.35">
      <c r="A108" s="180">
        <v>16</v>
      </c>
      <c r="B108" s="375" t="s">
        <v>249</v>
      </c>
      <c r="C108" s="376"/>
      <c r="D108" s="376"/>
      <c r="E108" s="376"/>
      <c r="F108" s="376"/>
      <c r="G108" s="377"/>
      <c r="H108" s="334" t="s">
        <v>250</v>
      </c>
      <c r="I108" s="334" t="s">
        <v>124</v>
      </c>
      <c r="J108" s="125"/>
      <c r="K108" s="112"/>
      <c r="L108" s="112"/>
      <c r="M108" s="113">
        <f t="shared" si="7"/>
        <v>0</v>
      </c>
      <c r="N108" s="113"/>
      <c r="O108" s="113"/>
      <c r="P108" s="113"/>
      <c r="Q108" s="113"/>
      <c r="R108" s="113"/>
      <c r="S108" s="113"/>
      <c r="T108" s="113"/>
      <c r="U108" s="113">
        <f t="shared" si="8"/>
        <v>0</v>
      </c>
      <c r="V108" s="113"/>
      <c r="W108" s="113"/>
      <c r="X108" s="113"/>
      <c r="Y108" s="113">
        <f t="shared" si="9"/>
        <v>0</v>
      </c>
      <c r="Z108" s="112"/>
    </row>
    <row r="109" spans="1:26" s="114" customFormat="1" ht="65.25" customHeight="1" x14ac:dyDescent="0.35">
      <c r="A109" s="125" t="s">
        <v>251</v>
      </c>
      <c r="B109" s="130" t="s">
        <v>126</v>
      </c>
      <c r="C109" s="97">
        <f t="shared" ref="C109:C113" si="16">D109+E109+F109+G109</f>
        <v>2400</v>
      </c>
      <c r="D109" s="181">
        <v>2400</v>
      </c>
      <c r="E109" s="129"/>
      <c r="F109" s="129"/>
      <c r="G109" s="129"/>
      <c r="H109" s="335"/>
      <c r="I109" s="335"/>
      <c r="J109" s="125"/>
      <c r="K109" s="112"/>
      <c r="L109" s="112"/>
      <c r="M109" s="113">
        <f t="shared" si="7"/>
        <v>0</v>
      </c>
      <c r="N109" s="113"/>
      <c r="O109" s="113"/>
      <c r="P109" s="113"/>
      <c r="Q109" s="113">
        <f t="shared" si="11"/>
        <v>0</v>
      </c>
      <c r="R109" s="113"/>
      <c r="S109" s="113"/>
      <c r="T109" s="113"/>
      <c r="U109" s="113">
        <f t="shared" si="8"/>
        <v>0</v>
      </c>
      <c r="V109" s="85">
        <v>2400</v>
      </c>
      <c r="W109" s="113"/>
      <c r="X109" s="113"/>
      <c r="Y109" s="113">
        <f t="shared" si="9"/>
        <v>2400</v>
      </c>
      <c r="Z109" s="94" t="s">
        <v>348</v>
      </c>
    </row>
    <row r="110" spans="1:26" s="114" customFormat="1" ht="65.25" customHeight="1" x14ac:dyDescent="0.35">
      <c r="A110" s="125" t="s">
        <v>252</v>
      </c>
      <c r="B110" s="126" t="s">
        <v>128</v>
      </c>
      <c r="C110" s="97">
        <f t="shared" si="16"/>
        <v>200</v>
      </c>
      <c r="D110" s="181">
        <v>200</v>
      </c>
      <c r="E110" s="129"/>
      <c r="F110" s="129"/>
      <c r="G110" s="129"/>
      <c r="H110" s="335"/>
      <c r="I110" s="335"/>
      <c r="J110" s="125"/>
      <c r="K110" s="112"/>
      <c r="L110" s="112"/>
      <c r="M110" s="113">
        <f t="shared" si="7"/>
        <v>0</v>
      </c>
      <c r="N110" s="113"/>
      <c r="O110" s="84">
        <v>70</v>
      </c>
      <c r="P110" s="113"/>
      <c r="Q110" s="113">
        <f t="shared" si="11"/>
        <v>70</v>
      </c>
      <c r="R110" s="182">
        <v>75.900000000000006</v>
      </c>
      <c r="S110" s="113"/>
      <c r="T110" s="113"/>
      <c r="U110" s="113">
        <f t="shared" si="8"/>
        <v>75.900000000000006</v>
      </c>
      <c r="V110" s="113"/>
      <c r="W110" s="113"/>
      <c r="X110" s="113"/>
      <c r="Y110" s="113">
        <f t="shared" si="9"/>
        <v>0</v>
      </c>
      <c r="Z110" s="94" t="s">
        <v>351</v>
      </c>
    </row>
    <row r="111" spans="1:26" s="114" customFormat="1" ht="65.25" customHeight="1" x14ac:dyDescent="0.35">
      <c r="A111" s="204" t="s">
        <v>253</v>
      </c>
      <c r="B111" s="205" t="s">
        <v>130</v>
      </c>
      <c r="C111" s="200">
        <f t="shared" si="16"/>
        <v>4000</v>
      </c>
      <c r="D111" s="201">
        <v>4000</v>
      </c>
      <c r="E111" s="202"/>
      <c r="F111" s="202"/>
      <c r="G111" s="202"/>
      <c r="H111" s="335"/>
      <c r="I111" s="335"/>
      <c r="J111" s="125"/>
      <c r="K111" s="112"/>
      <c r="L111" s="112"/>
      <c r="M111" s="113">
        <f t="shared" si="7"/>
        <v>0</v>
      </c>
      <c r="N111" s="113"/>
      <c r="O111" s="113"/>
      <c r="P111" s="84">
        <v>104</v>
      </c>
      <c r="Q111" s="113">
        <f t="shared" si="11"/>
        <v>104</v>
      </c>
      <c r="R111" s="182">
        <v>1840</v>
      </c>
      <c r="S111" s="113">
        <v>-40</v>
      </c>
      <c r="T111" s="182">
        <v>376</v>
      </c>
      <c r="U111" s="113">
        <f t="shared" si="8"/>
        <v>2176</v>
      </c>
      <c r="V111" s="113"/>
      <c r="W111" s="113"/>
      <c r="X111" s="113"/>
      <c r="Y111" s="113">
        <f t="shared" si="9"/>
        <v>0</v>
      </c>
      <c r="Z111" s="94" t="s">
        <v>351</v>
      </c>
    </row>
    <row r="112" spans="1:26" s="114" customFormat="1" ht="65.25" customHeight="1" x14ac:dyDescent="0.35">
      <c r="A112" s="204" t="s">
        <v>254</v>
      </c>
      <c r="B112" s="126" t="s">
        <v>255</v>
      </c>
      <c r="C112" s="200">
        <f t="shared" si="16"/>
        <v>2000</v>
      </c>
      <c r="D112" s="201">
        <v>2000</v>
      </c>
      <c r="E112" s="202"/>
      <c r="F112" s="202"/>
      <c r="G112" s="202"/>
      <c r="H112" s="335"/>
      <c r="I112" s="335"/>
      <c r="J112" s="125"/>
      <c r="K112" s="112"/>
      <c r="L112" s="112"/>
      <c r="M112" s="113">
        <f t="shared" si="7"/>
        <v>0</v>
      </c>
      <c r="N112" s="113"/>
      <c r="O112" s="113"/>
      <c r="P112" s="113"/>
      <c r="Q112" s="113">
        <f t="shared" si="11"/>
        <v>0</v>
      </c>
      <c r="R112" s="113"/>
      <c r="S112" s="113"/>
      <c r="T112" s="113"/>
      <c r="U112" s="113">
        <f t="shared" si="8"/>
        <v>0</v>
      </c>
      <c r="V112" s="85">
        <v>1642.5</v>
      </c>
      <c r="W112" s="84">
        <v>389.68000000000006</v>
      </c>
      <c r="X112" s="84">
        <v>-79.5</v>
      </c>
      <c r="Y112" s="113">
        <f t="shared" si="9"/>
        <v>1952.68</v>
      </c>
      <c r="Z112" s="94" t="s">
        <v>413</v>
      </c>
    </row>
    <row r="113" spans="1:26" s="114" customFormat="1" ht="65.25" customHeight="1" thickBot="1" x14ac:dyDescent="0.4">
      <c r="A113" s="183" t="s">
        <v>256</v>
      </c>
      <c r="B113" s="211" t="s">
        <v>257</v>
      </c>
      <c r="C113" s="185">
        <f t="shared" si="16"/>
        <v>1400</v>
      </c>
      <c r="D113" s="186">
        <v>1400</v>
      </c>
      <c r="E113" s="187"/>
      <c r="F113" s="187"/>
      <c r="G113" s="188"/>
      <c r="H113" s="335"/>
      <c r="I113" s="335"/>
      <c r="J113" s="125"/>
      <c r="K113" s="112"/>
      <c r="L113" s="112"/>
      <c r="M113" s="113">
        <f t="shared" si="7"/>
        <v>0</v>
      </c>
      <c r="N113" s="113"/>
      <c r="O113" s="113"/>
      <c r="P113" s="113"/>
      <c r="Q113" s="113">
        <f t="shared" si="11"/>
        <v>0</v>
      </c>
      <c r="R113" s="113"/>
      <c r="S113" s="113"/>
      <c r="T113" s="113"/>
      <c r="U113" s="113">
        <f t="shared" si="8"/>
        <v>0</v>
      </c>
      <c r="V113" s="113"/>
      <c r="W113" s="113"/>
      <c r="X113" s="113"/>
      <c r="Y113" s="113">
        <f t="shared" si="9"/>
        <v>0</v>
      </c>
      <c r="Z113" s="112"/>
    </row>
    <row r="114" spans="1:26" s="114" customFormat="1" ht="45" customHeight="1" x14ac:dyDescent="0.35">
      <c r="A114" s="189"/>
      <c r="B114" s="190" t="s">
        <v>13</v>
      </c>
      <c r="C114" s="196">
        <f>D114+E114+F114+G114</f>
        <v>10000</v>
      </c>
      <c r="D114" s="192">
        <f>SUM(D109:D113)</f>
        <v>10000</v>
      </c>
      <c r="E114" s="193"/>
      <c r="F114" s="193"/>
      <c r="G114" s="193"/>
      <c r="H114" s="336"/>
      <c r="I114" s="336"/>
      <c r="J114" s="125"/>
      <c r="K114" s="112"/>
      <c r="L114" s="112"/>
      <c r="M114" s="113">
        <f t="shared" si="7"/>
        <v>0</v>
      </c>
      <c r="N114" s="113"/>
      <c r="O114" s="113"/>
      <c r="P114" s="113"/>
      <c r="Q114" s="113">
        <f t="shared" si="11"/>
        <v>0</v>
      </c>
      <c r="R114" s="113"/>
      <c r="S114" s="113"/>
      <c r="T114" s="113"/>
      <c r="U114" s="113">
        <f t="shared" si="8"/>
        <v>0</v>
      </c>
      <c r="V114" s="113"/>
      <c r="W114" s="113"/>
      <c r="X114" s="113"/>
      <c r="Y114" s="113">
        <f t="shared" si="9"/>
        <v>0</v>
      </c>
      <c r="Z114" s="112"/>
    </row>
    <row r="115" spans="1:26" s="114" customFormat="1" ht="50.25" customHeight="1" x14ac:dyDescent="0.35">
      <c r="A115" s="180">
        <v>17</v>
      </c>
      <c r="B115" s="378" t="s">
        <v>258</v>
      </c>
      <c r="C115" s="378"/>
      <c r="D115" s="378"/>
      <c r="E115" s="378"/>
      <c r="F115" s="378"/>
      <c r="G115" s="378"/>
      <c r="H115" s="320" t="s">
        <v>259</v>
      </c>
      <c r="I115" s="320" t="s">
        <v>124</v>
      </c>
      <c r="J115" s="125"/>
      <c r="K115" s="112"/>
      <c r="L115" s="112"/>
      <c r="M115" s="113">
        <f t="shared" si="7"/>
        <v>0</v>
      </c>
      <c r="N115" s="113"/>
      <c r="O115" s="113"/>
      <c r="P115" s="113"/>
      <c r="Q115" s="113"/>
      <c r="R115" s="113"/>
      <c r="S115" s="113"/>
      <c r="T115" s="113"/>
      <c r="U115" s="113">
        <f t="shared" si="8"/>
        <v>0</v>
      </c>
      <c r="V115" s="113"/>
      <c r="W115" s="113"/>
      <c r="X115" s="113"/>
      <c r="Y115" s="113">
        <f t="shared" si="9"/>
        <v>0</v>
      </c>
      <c r="Z115" s="112"/>
    </row>
    <row r="116" spans="1:26" s="114" customFormat="1" ht="54" x14ac:dyDescent="0.35">
      <c r="A116" s="125" t="s">
        <v>260</v>
      </c>
      <c r="B116" s="126" t="s">
        <v>126</v>
      </c>
      <c r="C116" s="97">
        <f t="shared" ref="C116:C120" si="17">D116+E116+F116+G116</f>
        <v>7920</v>
      </c>
      <c r="D116" s="181">
        <v>7920</v>
      </c>
      <c r="E116" s="128"/>
      <c r="F116" s="128"/>
      <c r="G116" s="128"/>
      <c r="H116" s="320"/>
      <c r="I116" s="320"/>
      <c r="J116" s="125"/>
      <c r="K116" s="112"/>
      <c r="L116" s="112"/>
      <c r="M116" s="113">
        <f t="shared" si="7"/>
        <v>0</v>
      </c>
      <c r="N116" s="84">
        <v>1440</v>
      </c>
      <c r="O116" s="84">
        <v>720</v>
      </c>
      <c r="P116" s="113"/>
      <c r="Q116" s="113">
        <f t="shared" si="11"/>
        <v>2160</v>
      </c>
      <c r="R116" s="113"/>
      <c r="S116" s="182">
        <v>3600</v>
      </c>
      <c r="T116" s="113"/>
      <c r="U116" s="113">
        <f t="shared" si="8"/>
        <v>3600</v>
      </c>
      <c r="V116" s="84"/>
      <c r="W116" s="84">
        <v>1440</v>
      </c>
      <c r="X116" s="113">
        <v>720</v>
      </c>
      <c r="Y116" s="113">
        <f t="shared" si="9"/>
        <v>2160</v>
      </c>
      <c r="Z116" s="94" t="s">
        <v>348</v>
      </c>
    </row>
    <row r="117" spans="1:26" s="114" customFormat="1" ht="54" x14ac:dyDescent="0.35">
      <c r="A117" s="125" t="s">
        <v>261</v>
      </c>
      <c r="B117" s="126" t="s">
        <v>14</v>
      </c>
      <c r="C117" s="97">
        <f t="shared" si="17"/>
        <v>5800</v>
      </c>
      <c r="D117" s="181">
        <v>5800</v>
      </c>
      <c r="E117" s="128"/>
      <c r="F117" s="128"/>
      <c r="G117" s="128"/>
      <c r="H117" s="320"/>
      <c r="I117" s="320"/>
      <c r="J117" s="125"/>
      <c r="K117" s="112"/>
      <c r="L117" s="112"/>
      <c r="M117" s="113">
        <f t="shared" si="7"/>
        <v>0</v>
      </c>
      <c r="N117" s="113"/>
      <c r="O117" s="113"/>
      <c r="P117" s="84">
        <v>360</v>
      </c>
      <c r="Q117" s="113">
        <f t="shared" si="11"/>
        <v>360</v>
      </c>
      <c r="R117" s="182">
        <v>4480.6000000000004</v>
      </c>
      <c r="S117" s="113"/>
      <c r="T117" s="182">
        <v>780</v>
      </c>
      <c r="U117" s="113">
        <f t="shared" si="8"/>
        <v>5260.6</v>
      </c>
      <c r="V117" s="113"/>
      <c r="W117" s="113"/>
      <c r="X117" s="113"/>
      <c r="Y117" s="113">
        <f t="shared" si="9"/>
        <v>0</v>
      </c>
      <c r="Z117" s="94" t="s">
        <v>349</v>
      </c>
    </row>
    <row r="118" spans="1:26" s="114" customFormat="1" ht="65.25" customHeight="1" x14ac:dyDescent="0.35">
      <c r="A118" s="204" t="s">
        <v>262</v>
      </c>
      <c r="B118" s="126" t="s">
        <v>263</v>
      </c>
      <c r="C118" s="97">
        <f t="shared" si="17"/>
        <v>1700</v>
      </c>
      <c r="D118" s="181">
        <v>1700</v>
      </c>
      <c r="E118" s="128"/>
      <c r="F118" s="128"/>
      <c r="G118" s="128"/>
      <c r="H118" s="320"/>
      <c r="I118" s="320"/>
      <c r="J118" s="125"/>
      <c r="K118" s="112"/>
      <c r="L118" s="112"/>
      <c r="M118" s="113">
        <f t="shared" si="7"/>
        <v>0</v>
      </c>
      <c r="N118" s="113"/>
      <c r="O118" s="113"/>
      <c r="P118" s="113"/>
      <c r="Q118" s="113">
        <f t="shared" si="11"/>
        <v>0</v>
      </c>
      <c r="R118" s="113"/>
      <c r="S118" s="113"/>
      <c r="T118" s="113"/>
      <c r="U118" s="113">
        <f t="shared" si="8"/>
        <v>0</v>
      </c>
      <c r="V118" s="113"/>
      <c r="W118" s="113"/>
      <c r="X118" s="84">
        <v>1700</v>
      </c>
      <c r="Y118" s="113">
        <f t="shared" si="9"/>
        <v>1700</v>
      </c>
      <c r="Z118" s="94" t="s">
        <v>449</v>
      </c>
    </row>
    <row r="119" spans="1:26" s="114" customFormat="1" ht="65.25" customHeight="1" x14ac:dyDescent="0.35">
      <c r="A119" s="204" t="s">
        <v>264</v>
      </c>
      <c r="B119" s="126" t="s">
        <v>156</v>
      </c>
      <c r="C119" s="97">
        <f t="shared" si="17"/>
        <v>300</v>
      </c>
      <c r="D119" s="181">
        <v>300</v>
      </c>
      <c r="E119" s="128"/>
      <c r="F119" s="128"/>
      <c r="G119" s="128"/>
      <c r="H119" s="320"/>
      <c r="I119" s="320"/>
      <c r="J119" s="125"/>
      <c r="K119" s="112"/>
      <c r="L119" s="112"/>
      <c r="M119" s="113">
        <f t="shared" si="7"/>
        <v>0</v>
      </c>
      <c r="N119" s="113"/>
      <c r="O119" s="113"/>
      <c r="P119" s="113"/>
      <c r="Q119" s="113">
        <f t="shared" si="11"/>
        <v>0</v>
      </c>
      <c r="R119" s="113"/>
      <c r="S119" s="113"/>
      <c r="T119" s="113"/>
      <c r="U119" s="113">
        <f t="shared" si="8"/>
        <v>0</v>
      </c>
      <c r="V119" s="113"/>
      <c r="W119" s="113"/>
      <c r="X119" s="113"/>
      <c r="Y119" s="113">
        <f t="shared" si="9"/>
        <v>0</v>
      </c>
      <c r="Z119" s="112"/>
    </row>
    <row r="120" spans="1:26" s="114" customFormat="1" ht="65.25" customHeight="1" x14ac:dyDescent="0.35">
      <c r="A120" s="204" t="s">
        <v>265</v>
      </c>
      <c r="B120" s="126" t="s">
        <v>266</v>
      </c>
      <c r="C120" s="97">
        <f t="shared" si="17"/>
        <v>4200</v>
      </c>
      <c r="D120" s="181">
        <f>1900+2300</f>
        <v>4200</v>
      </c>
      <c r="E120" s="128"/>
      <c r="F120" s="128"/>
      <c r="G120" s="128"/>
      <c r="H120" s="320"/>
      <c r="I120" s="320"/>
      <c r="J120" s="125"/>
      <c r="K120" s="112"/>
      <c r="L120" s="112"/>
      <c r="M120" s="113">
        <f t="shared" si="7"/>
        <v>0</v>
      </c>
      <c r="N120" s="113"/>
      <c r="O120" s="84">
        <v>1545</v>
      </c>
      <c r="P120" s="113"/>
      <c r="Q120" s="113">
        <f t="shared" si="11"/>
        <v>1545</v>
      </c>
      <c r="R120" s="113"/>
      <c r="S120" s="113"/>
      <c r="T120" s="113"/>
      <c r="U120" s="113">
        <f t="shared" si="8"/>
        <v>0</v>
      </c>
      <c r="V120" s="113"/>
      <c r="W120" s="113"/>
      <c r="X120" s="113"/>
      <c r="Y120" s="113">
        <f t="shared" si="9"/>
        <v>0</v>
      </c>
      <c r="Z120" s="94" t="s">
        <v>350</v>
      </c>
    </row>
    <row r="121" spans="1:26" s="114" customFormat="1" ht="45" customHeight="1" x14ac:dyDescent="0.35">
      <c r="A121" s="125"/>
      <c r="B121" s="206" t="s">
        <v>13</v>
      </c>
      <c r="C121" s="191">
        <f>D121+E121+F121+G121</f>
        <v>19920</v>
      </c>
      <c r="D121" s="207">
        <f>SUM(D116:D120)</f>
        <v>19920</v>
      </c>
      <c r="E121" s="208"/>
      <c r="F121" s="208"/>
      <c r="G121" s="208"/>
      <c r="H121" s="320"/>
      <c r="I121" s="320"/>
      <c r="J121" s="125"/>
      <c r="K121" s="112"/>
      <c r="L121" s="112"/>
      <c r="M121" s="113">
        <f t="shared" si="7"/>
        <v>0</v>
      </c>
      <c r="N121" s="113"/>
      <c r="O121" s="113"/>
      <c r="P121" s="113"/>
      <c r="Q121" s="113">
        <f t="shared" si="11"/>
        <v>0</v>
      </c>
      <c r="R121" s="113"/>
      <c r="S121" s="113"/>
      <c r="T121" s="113"/>
      <c r="U121" s="113">
        <f t="shared" si="8"/>
        <v>0</v>
      </c>
      <c r="V121" s="113"/>
      <c r="W121" s="113"/>
      <c r="X121" s="113"/>
      <c r="Y121" s="113">
        <f t="shared" si="9"/>
        <v>0</v>
      </c>
      <c r="Z121" s="112"/>
    </row>
    <row r="122" spans="1:26" s="114" customFormat="1" ht="30.75" customHeight="1" x14ac:dyDescent="0.35">
      <c r="A122" s="125"/>
      <c r="B122" s="212" t="s">
        <v>269</v>
      </c>
      <c r="C122" s="213">
        <f>C121+C114+C107+C101+C96+C90+C86+C79+C73+C66+C59+C50+C44+C39+C32+C26+C19</f>
        <v>269350</v>
      </c>
      <c r="D122" s="213">
        <f>D121+D114+D107+D101+D96+D90+D86+D79+D73+D66+D59+D50+D44+D39+D32+D26+D19</f>
        <v>269350</v>
      </c>
      <c r="E122" s="214">
        <f t="shared" ref="E122:F122" si="18">SUM(E19+E26+E32+E39+E44+E50+E59+E66+E73+E79+E86+E90+E96+E101+E107+E121)</f>
        <v>0</v>
      </c>
      <c r="F122" s="214">
        <f t="shared" si="18"/>
        <v>0</v>
      </c>
      <c r="G122" s="125"/>
      <c r="H122" s="112"/>
      <c r="I122" s="112"/>
      <c r="J122" s="125"/>
      <c r="K122" s="112"/>
      <c r="L122" s="112"/>
      <c r="M122" s="113">
        <f t="shared" si="7"/>
        <v>0</v>
      </c>
      <c r="N122" s="112"/>
      <c r="O122" s="112"/>
      <c r="P122" s="112"/>
      <c r="Q122" s="113"/>
      <c r="R122" s="113"/>
      <c r="S122" s="113"/>
      <c r="T122" s="113"/>
      <c r="U122" s="113">
        <f t="shared" si="8"/>
        <v>0</v>
      </c>
      <c r="V122" s="113"/>
      <c r="W122" s="113"/>
      <c r="X122" s="113"/>
      <c r="Y122" s="113">
        <f t="shared" si="9"/>
        <v>0</v>
      </c>
      <c r="Z122" s="112"/>
    </row>
    <row r="123" spans="1:26" s="119" customFormat="1" ht="34.5" customHeight="1" x14ac:dyDescent="0.35">
      <c r="A123" s="134"/>
      <c r="B123" s="215" t="s">
        <v>13</v>
      </c>
      <c r="C123" s="216"/>
      <c r="D123" s="216"/>
      <c r="E123" s="217"/>
      <c r="F123" s="217"/>
      <c r="G123" s="134"/>
      <c r="J123" s="117">
        <f>SUM(J15:J122)</f>
        <v>0</v>
      </c>
      <c r="K123" s="117">
        <f>SUM(K15:K122)</f>
        <v>0</v>
      </c>
      <c r="L123" s="117">
        <f>SUM(L15:L122)</f>
        <v>1800</v>
      </c>
      <c r="M123" s="117">
        <f t="shared" si="7"/>
        <v>1800</v>
      </c>
      <c r="N123" s="117">
        <f t="shared" ref="N123:O123" si="19">SUM(N15:N122)</f>
        <v>10365.880000000001</v>
      </c>
      <c r="O123" s="117">
        <f t="shared" si="19"/>
        <v>11852.195</v>
      </c>
      <c r="P123" s="117">
        <f>SUM(P15:P122)</f>
        <v>21163</v>
      </c>
      <c r="Q123" s="117">
        <f>SUM(Q15:Q122)</f>
        <v>43381.074999999997</v>
      </c>
      <c r="R123" s="117">
        <f>SUM(R15:R122)</f>
        <v>35789.1</v>
      </c>
      <c r="S123" s="117">
        <f t="shared" ref="S123:U123" si="20">SUM(S15:S122)</f>
        <v>6994.54</v>
      </c>
      <c r="T123" s="117">
        <f t="shared" si="20"/>
        <v>22607.33</v>
      </c>
      <c r="U123" s="117">
        <f t="shared" si="20"/>
        <v>65390.970000000008</v>
      </c>
      <c r="V123" s="117">
        <f>SUM(V15:V122)</f>
        <v>11525.73</v>
      </c>
      <c r="W123" s="117">
        <f t="shared" ref="W123:Y123" si="21">SUM(W15:W122)</f>
        <v>35676.68</v>
      </c>
      <c r="X123" s="117">
        <f t="shared" si="21"/>
        <v>34318.81</v>
      </c>
      <c r="Y123" s="117">
        <f t="shared" si="21"/>
        <v>81521.22</v>
      </c>
    </row>
    <row r="125" spans="1:26" x14ac:dyDescent="0.3">
      <c r="C125" s="68"/>
      <c r="D125" s="68"/>
    </row>
  </sheetData>
  <autoFilter ref="A13:Z123" xr:uid="{00000000-0001-0000-0C00-000000000000}">
    <filterColumn colId="3" showButton="0"/>
    <filterColumn colId="4" showButton="0"/>
    <filterColumn colId="5" showButton="0"/>
    <filterColumn colId="9" showButton="0"/>
    <filterColumn colId="10" showButton="0"/>
    <filterColumn colId="11" showButton="0"/>
    <filterColumn colId="13" showButton="0"/>
    <filterColumn colId="14" showButton="0"/>
    <filterColumn colId="15" showButton="0"/>
    <filterColumn colId="17" showButton="0"/>
    <filterColumn colId="18" showButton="0"/>
  </autoFilter>
  <mergeCells count="71">
    <mergeCell ref="V13:Y13"/>
    <mergeCell ref="R13:U13"/>
    <mergeCell ref="N13:Q13"/>
    <mergeCell ref="J13:M13"/>
    <mergeCell ref="Z13:Z14"/>
    <mergeCell ref="B115:G115"/>
    <mergeCell ref="H115:H121"/>
    <mergeCell ref="I115:I121"/>
    <mergeCell ref="B102:G102"/>
    <mergeCell ref="H102:H107"/>
    <mergeCell ref="I102:I107"/>
    <mergeCell ref="B108:G108"/>
    <mergeCell ref="H108:H114"/>
    <mergeCell ref="I108:I114"/>
    <mergeCell ref="B91:G91"/>
    <mergeCell ref="H91:H96"/>
    <mergeCell ref="I91:I96"/>
    <mergeCell ref="B97:G97"/>
    <mergeCell ref="H97:H101"/>
    <mergeCell ref="I97:I101"/>
    <mergeCell ref="B80:G80"/>
    <mergeCell ref="H80:H86"/>
    <mergeCell ref="I80:I86"/>
    <mergeCell ref="B87:G87"/>
    <mergeCell ref="H87:H90"/>
    <mergeCell ref="I87:I90"/>
    <mergeCell ref="B67:G67"/>
    <mergeCell ref="H67:H73"/>
    <mergeCell ref="I67:I73"/>
    <mergeCell ref="B74:G74"/>
    <mergeCell ref="H74:H79"/>
    <mergeCell ref="I74:I79"/>
    <mergeCell ref="B51:G51"/>
    <mergeCell ref="H51:H59"/>
    <mergeCell ref="I51:I59"/>
    <mergeCell ref="B60:G60"/>
    <mergeCell ref="H60:H66"/>
    <mergeCell ref="I60:I66"/>
    <mergeCell ref="B40:G40"/>
    <mergeCell ref="H40:H44"/>
    <mergeCell ref="I40:I44"/>
    <mergeCell ref="B45:G45"/>
    <mergeCell ref="H45:H50"/>
    <mergeCell ref="I45:I50"/>
    <mergeCell ref="B27:G27"/>
    <mergeCell ref="H27:H32"/>
    <mergeCell ref="I27:I32"/>
    <mergeCell ref="B33:G33"/>
    <mergeCell ref="H33:H39"/>
    <mergeCell ref="I33:I39"/>
    <mergeCell ref="B15:G15"/>
    <mergeCell ref="H15:H19"/>
    <mergeCell ref="I15:I19"/>
    <mergeCell ref="B20:G20"/>
    <mergeCell ref="H20:H26"/>
    <mergeCell ref="I20:I26"/>
    <mergeCell ref="I13:I14"/>
    <mergeCell ref="A10:I10"/>
    <mergeCell ref="A1:I1"/>
    <mergeCell ref="B2:I2"/>
    <mergeCell ref="B3:I3"/>
    <mergeCell ref="B5:I5"/>
    <mergeCell ref="A6:I6"/>
    <mergeCell ref="A9:H9"/>
    <mergeCell ref="A7:G7"/>
    <mergeCell ref="B8:G8"/>
    <mergeCell ref="A13:A14"/>
    <mergeCell ref="B13:B14"/>
    <mergeCell ref="C13:C14"/>
    <mergeCell ref="D13:G13"/>
    <mergeCell ref="H13:H14"/>
  </mergeCells>
  <pageMargins left="0.11811023622047245" right="0.11811023622047245" top="0.74803149606299213" bottom="0.15748031496062992" header="0.31496062992125984" footer="0.31496062992125984"/>
  <pageSetup scale="6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H31"/>
  <sheetViews>
    <sheetView topLeftCell="A10" zoomScale="70" zoomScaleNormal="70" workbookViewId="0">
      <selection activeCell="N37" sqref="N37"/>
    </sheetView>
  </sheetViews>
  <sheetFormatPr defaultColWidth="8.875" defaultRowHeight="15" x14ac:dyDescent="0.3"/>
  <cols>
    <col min="1" max="1" width="4.875" style="259" customWidth="1"/>
    <col min="2" max="2" width="62" style="240" customWidth="1"/>
    <col min="3" max="3" width="14.125" style="259" customWidth="1"/>
    <col min="4" max="4" width="16.75" style="259" customWidth="1"/>
    <col min="5" max="5" width="14.375" style="259" customWidth="1"/>
    <col min="6" max="6" width="14.625" style="259" customWidth="1"/>
    <col min="7" max="7" width="14" style="259" customWidth="1"/>
    <col min="8" max="8" width="29.875" style="240" customWidth="1"/>
    <col min="9" max="9" width="24.25" style="240" customWidth="1"/>
    <col min="10" max="10" width="13.75" style="240" customWidth="1"/>
    <col min="11" max="11" width="14.125" style="240" customWidth="1"/>
    <col min="12" max="12" width="12" style="240" customWidth="1"/>
    <col min="13" max="25" width="12.25" style="241" customWidth="1"/>
    <col min="26" max="26" width="12.25" style="242" customWidth="1"/>
    <col min="27" max="27" width="12.25" style="241" customWidth="1"/>
    <col min="28" max="28" width="12.25" style="242" customWidth="1"/>
    <col min="29" max="29" width="12.25" style="241" customWidth="1"/>
    <col min="30" max="30" width="12.25" style="242" customWidth="1"/>
    <col min="31" max="33" width="12.25" style="241" customWidth="1"/>
    <col min="34" max="34" width="57.5" style="240" customWidth="1"/>
    <col min="35" max="35" width="8.25" style="240" customWidth="1"/>
    <col min="36" max="16384" width="8.875" style="240"/>
  </cols>
  <sheetData>
    <row r="1" spans="1:34" ht="36" customHeight="1" x14ac:dyDescent="0.3">
      <c r="A1" s="294" t="s">
        <v>61</v>
      </c>
      <c r="B1" s="294"/>
      <c r="C1" s="294"/>
      <c r="D1" s="294"/>
      <c r="E1" s="294"/>
      <c r="F1" s="294"/>
      <c r="G1" s="294"/>
      <c r="H1" s="294"/>
      <c r="I1" s="294"/>
    </row>
    <row r="2" spans="1:34" ht="51.75" customHeight="1" x14ac:dyDescent="0.3">
      <c r="A2" s="243"/>
      <c r="B2" s="295" t="s">
        <v>0</v>
      </c>
      <c r="C2" s="295"/>
      <c r="D2" s="295"/>
      <c r="E2" s="295"/>
      <c r="F2" s="295"/>
      <c r="G2" s="295"/>
      <c r="H2" s="295"/>
      <c r="I2" s="295"/>
    </row>
    <row r="3" spans="1:34" ht="44.25" customHeight="1" x14ac:dyDescent="0.3">
      <c r="A3" s="243"/>
      <c r="B3" s="296" t="s">
        <v>17</v>
      </c>
      <c r="C3" s="296"/>
      <c r="D3" s="296"/>
      <c r="E3" s="296"/>
      <c r="F3" s="296"/>
      <c r="G3" s="296"/>
      <c r="H3" s="296"/>
      <c r="I3" s="296"/>
    </row>
    <row r="4" spans="1:34" ht="9" customHeight="1" x14ac:dyDescent="0.35">
      <c r="A4" s="243"/>
      <c r="B4" s="244"/>
      <c r="C4" s="243"/>
      <c r="D4" s="243"/>
      <c r="E4" s="243"/>
      <c r="F4" s="243"/>
      <c r="G4" s="243"/>
      <c r="H4" s="244"/>
      <c r="I4" s="244"/>
    </row>
    <row r="5" spans="1:34" ht="118.5" customHeight="1" x14ac:dyDescent="0.3">
      <c r="A5" s="144"/>
      <c r="B5" s="297" t="s">
        <v>467</v>
      </c>
      <c r="C5" s="297"/>
      <c r="D5" s="297"/>
      <c r="E5" s="297"/>
      <c r="F5" s="297"/>
      <c r="G5" s="297"/>
      <c r="H5" s="297"/>
      <c r="I5" s="297"/>
    </row>
    <row r="6" spans="1:34" ht="117" customHeight="1" x14ac:dyDescent="0.3">
      <c r="A6" s="297" t="s">
        <v>426</v>
      </c>
      <c r="B6" s="297"/>
      <c r="C6" s="297"/>
      <c r="D6" s="297"/>
      <c r="E6" s="297"/>
      <c r="F6" s="297"/>
      <c r="G6" s="297"/>
      <c r="H6" s="297"/>
      <c r="I6" s="297"/>
    </row>
    <row r="7" spans="1:34" ht="36" customHeight="1" x14ac:dyDescent="0.3">
      <c r="A7" s="299" t="s">
        <v>35</v>
      </c>
      <c r="B7" s="299"/>
      <c r="C7" s="299"/>
      <c r="D7" s="299"/>
      <c r="E7" s="299"/>
      <c r="F7" s="299"/>
      <c r="G7" s="299"/>
      <c r="H7" s="305" t="s">
        <v>21</v>
      </c>
      <c r="I7" s="305"/>
    </row>
    <row r="8" spans="1:34" ht="36" customHeight="1" x14ac:dyDescent="0.3">
      <c r="A8" s="245"/>
      <c r="B8" s="299" t="s">
        <v>36</v>
      </c>
      <c r="C8" s="299"/>
      <c r="D8" s="299"/>
      <c r="E8" s="299"/>
      <c r="F8" s="299"/>
      <c r="G8" s="299"/>
      <c r="H8" s="245" t="s">
        <v>67</v>
      </c>
      <c r="I8" s="162"/>
    </row>
    <row r="9" spans="1:34" ht="14.1" customHeight="1" x14ac:dyDescent="0.35">
      <c r="A9" s="310"/>
      <c r="B9" s="310"/>
      <c r="C9" s="310"/>
      <c r="D9" s="310"/>
      <c r="E9" s="310"/>
      <c r="F9" s="310"/>
      <c r="G9" s="310"/>
      <c r="H9" s="310"/>
      <c r="I9" s="310"/>
    </row>
    <row r="10" spans="1:34" ht="29.25" customHeight="1" x14ac:dyDescent="0.3">
      <c r="A10" s="304" t="s">
        <v>6</v>
      </c>
      <c r="B10" s="304"/>
      <c r="C10" s="304"/>
      <c r="D10" s="304"/>
      <c r="E10" s="304"/>
      <c r="F10" s="304"/>
      <c r="G10" s="304"/>
      <c r="H10" s="304"/>
      <c r="I10" s="304"/>
    </row>
    <row r="12" spans="1:34" s="248" customFormat="1" ht="40.5" customHeight="1" x14ac:dyDescent="0.25">
      <c r="A12" s="301" t="s">
        <v>1</v>
      </c>
      <c r="B12" s="301" t="s">
        <v>42</v>
      </c>
      <c r="C12" s="300" t="s">
        <v>2</v>
      </c>
      <c r="D12" s="300" t="s">
        <v>43</v>
      </c>
      <c r="E12" s="300"/>
      <c r="F12" s="300"/>
      <c r="G12" s="300"/>
      <c r="H12" s="306" t="s">
        <v>16</v>
      </c>
      <c r="I12" s="309" t="s">
        <v>3</v>
      </c>
      <c r="J12" s="314" t="s">
        <v>301</v>
      </c>
      <c r="K12" s="314"/>
      <c r="L12" s="314"/>
      <c r="M12" s="314"/>
      <c r="N12" s="311" t="s">
        <v>300</v>
      </c>
      <c r="O12" s="312"/>
      <c r="P12" s="312"/>
      <c r="Q12" s="313"/>
      <c r="R12" s="311" t="s">
        <v>366</v>
      </c>
      <c r="S12" s="312"/>
      <c r="T12" s="312"/>
      <c r="U12" s="312"/>
      <c r="V12" s="312"/>
      <c r="W12" s="312"/>
      <c r="X12" s="312"/>
      <c r="Y12" s="313"/>
      <c r="Z12" s="312" t="s">
        <v>414</v>
      </c>
      <c r="AA12" s="312"/>
      <c r="AB12" s="312"/>
      <c r="AC12" s="312"/>
      <c r="AD12" s="312"/>
      <c r="AE12" s="312"/>
      <c r="AF12" s="312"/>
      <c r="AG12" s="312"/>
      <c r="AH12" s="314" t="s">
        <v>288</v>
      </c>
    </row>
    <row r="13" spans="1:34" s="248" customFormat="1" ht="40.5" customHeight="1" x14ac:dyDescent="0.25">
      <c r="A13" s="302"/>
      <c r="B13" s="302"/>
      <c r="C13" s="300"/>
      <c r="D13" s="301" t="s">
        <v>7</v>
      </c>
      <c r="E13" s="301" t="s">
        <v>12</v>
      </c>
      <c r="F13" s="301" t="s">
        <v>40</v>
      </c>
      <c r="G13" s="301" t="s">
        <v>41</v>
      </c>
      <c r="H13" s="307"/>
      <c r="I13" s="309"/>
      <c r="J13" s="247" t="s">
        <v>285</v>
      </c>
      <c r="K13" s="247" t="s">
        <v>286</v>
      </c>
      <c r="L13" s="247" t="s">
        <v>287</v>
      </c>
      <c r="M13" s="247" t="s">
        <v>13</v>
      </c>
      <c r="N13" s="247" t="s">
        <v>297</v>
      </c>
      <c r="O13" s="247" t="s">
        <v>298</v>
      </c>
      <c r="P13" s="247" t="s">
        <v>299</v>
      </c>
      <c r="Q13" s="247" t="s">
        <v>13</v>
      </c>
      <c r="R13" s="314" t="s">
        <v>363</v>
      </c>
      <c r="S13" s="314"/>
      <c r="T13" s="314" t="s">
        <v>364</v>
      </c>
      <c r="U13" s="314"/>
      <c r="V13" s="314" t="s">
        <v>365</v>
      </c>
      <c r="W13" s="314"/>
      <c r="X13" s="314" t="s">
        <v>13</v>
      </c>
      <c r="Y13" s="314"/>
      <c r="Z13" s="311" t="s">
        <v>415</v>
      </c>
      <c r="AA13" s="313"/>
      <c r="AB13" s="311" t="s">
        <v>416</v>
      </c>
      <c r="AC13" s="313"/>
      <c r="AD13" s="311" t="s">
        <v>417</v>
      </c>
      <c r="AE13" s="313"/>
      <c r="AF13" s="311" t="s">
        <v>13</v>
      </c>
      <c r="AG13" s="313"/>
      <c r="AH13" s="314"/>
    </row>
    <row r="14" spans="1:34" s="248" customFormat="1" ht="102" customHeight="1" x14ac:dyDescent="0.25">
      <c r="A14" s="303"/>
      <c r="B14" s="303"/>
      <c r="C14" s="300"/>
      <c r="D14" s="303"/>
      <c r="E14" s="303"/>
      <c r="F14" s="303"/>
      <c r="G14" s="303"/>
      <c r="H14" s="308"/>
      <c r="I14" s="309"/>
      <c r="J14" s="315" t="s">
        <v>7</v>
      </c>
      <c r="K14" s="316"/>
      <c r="L14" s="316"/>
      <c r="M14" s="317"/>
      <c r="N14" s="311" t="s">
        <v>7</v>
      </c>
      <c r="O14" s="312"/>
      <c r="P14" s="312"/>
      <c r="Q14" s="313"/>
      <c r="R14" s="247" t="s">
        <v>7</v>
      </c>
      <c r="S14" s="247" t="s">
        <v>12</v>
      </c>
      <c r="T14" s="247" t="s">
        <v>7</v>
      </c>
      <c r="U14" s="247" t="s">
        <v>12</v>
      </c>
      <c r="V14" s="247" t="s">
        <v>7</v>
      </c>
      <c r="W14" s="247" t="s">
        <v>12</v>
      </c>
      <c r="X14" s="247" t="s">
        <v>7</v>
      </c>
      <c r="Y14" s="247" t="s">
        <v>12</v>
      </c>
      <c r="Z14" s="247" t="s">
        <v>7</v>
      </c>
      <c r="AA14" s="247" t="s">
        <v>12</v>
      </c>
      <c r="AB14" s="247" t="s">
        <v>7</v>
      </c>
      <c r="AC14" s="247" t="s">
        <v>12</v>
      </c>
      <c r="AD14" s="247" t="s">
        <v>7</v>
      </c>
      <c r="AE14" s="247" t="s">
        <v>12</v>
      </c>
      <c r="AF14" s="247" t="s">
        <v>7</v>
      </c>
      <c r="AG14" s="247" t="s">
        <v>12</v>
      </c>
      <c r="AH14" s="314"/>
    </row>
    <row r="15" spans="1:34" s="251" customFormat="1" ht="78" customHeight="1" x14ac:dyDescent="0.35">
      <c r="A15" s="246">
        <v>1</v>
      </c>
      <c r="B15" s="73" t="s">
        <v>22</v>
      </c>
      <c r="C15" s="250">
        <f>D15+E15+F15+G15</f>
        <v>224717</v>
      </c>
      <c r="D15" s="250">
        <f>205440+19277</f>
        <v>224717</v>
      </c>
      <c r="E15" s="250"/>
      <c r="F15" s="250"/>
      <c r="G15" s="73"/>
      <c r="H15" s="73" t="s">
        <v>45</v>
      </c>
      <c r="I15" s="73" t="s">
        <v>46</v>
      </c>
      <c r="J15" s="70">
        <v>18840</v>
      </c>
      <c r="K15" s="70">
        <v>18840</v>
      </c>
      <c r="L15" s="70">
        <v>18840</v>
      </c>
      <c r="M15" s="81">
        <f>J15+K15+L15</f>
        <v>56520</v>
      </c>
      <c r="N15" s="71">
        <v>18840</v>
      </c>
      <c r="O15" s="71">
        <v>18840</v>
      </c>
      <c r="P15" s="71">
        <v>18840</v>
      </c>
      <c r="Q15" s="81">
        <f>N15+O15+P15</f>
        <v>56520</v>
      </c>
      <c r="R15" s="81">
        <v>24849.919999999984</v>
      </c>
      <c r="S15" s="81"/>
      <c r="T15" s="71">
        <v>13648.660000000003</v>
      </c>
      <c r="U15" s="81"/>
      <c r="V15" s="71">
        <v>17041.48000000001</v>
      </c>
      <c r="W15" s="81"/>
      <c r="X15" s="81">
        <f>R15+T15+V15</f>
        <v>55540.06</v>
      </c>
      <c r="Y15" s="81">
        <f>S15+U15+W15</f>
        <v>0</v>
      </c>
      <c r="Z15" s="71">
        <v>17370</v>
      </c>
      <c r="AA15" s="71"/>
      <c r="AB15" s="71">
        <v>17370</v>
      </c>
      <c r="AC15" s="71"/>
      <c r="AD15" s="71">
        <v>17370</v>
      </c>
      <c r="AE15" s="81"/>
      <c r="AF15" s="81">
        <f>Z15+AB15+AD15</f>
        <v>52110</v>
      </c>
      <c r="AG15" s="81">
        <f>AA15+AC15+AE15</f>
        <v>0</v>
      </c>
      <c r="AH15" s="301" t="s">
        <v>289</v>
      </c>
    </row>
    <row r="16" spans="1:34" s="251" customFormat="1" ht="82.5" customHeight="1" x14ac:dyDescent="0.35">
      <c r="A16" s="246">
        <v>2</v>
      </c>
      <c r="B16" s="73" t="s">
        <v>23</v>
      </c>
      <c r="C16" s="250">
        <f t="shared" ref="C16:C26" si="0">D16+E16+F16+G16</f>
        <v>966842</v>
      </c>
      <c r="D16" s="252">
        <f>981900+84942-100000</f>
        <v>966842</v>
      </c>
      <c r="E16" s="252"/>
      <c r="F16" s="252"/>
      <c r="G16" s="73"/>
      <c r="H16" s="73" t="s">
        <v>45</v>
      </c>
      <c r="I16" s="73" t="s">
        <v>46</v>
      </c>
      <c r="J16" s="70">
        <v>70424.11</v>
      </c>
      <c r="K16" s="70">
        <v>63383.199999999997</v>
      </c>
      <c r="L16" s="70">
        <v>64948.140000000014</v>
      </c>
      <c r="M16" s="81">
        <f t="shared" ref="M16:M22" si="1">J16+K16+L16</f>
        <v>198755.45</v>
      </c>
      <c r="N16" s="71">
        <v>66129.429999999993</v>
      </c>
      <c r="O16" s="71">
        <v>64255.289999999979</v>
      </c>
      <c r="P16" s="71">
        <v>66773.38</v>
      </c>
      <c r="Q16" s="81">
        <f t="shared" ref="Q16:Q22" si="2">N16+O16+P16</f>
        <v>197158.09999999998</v>
      </c>
      <c r="R16" s="71">
        <v>138653.08000000002</v>
      </c>
      <c r="S16" s="81"/>
      <c r="T16" s="81"/>
      <c r="U16" s="81"/>
      <c r="V16" s="71">
        <v>64627.369999999995</v>
      </c>
      <c r="W16" s="81"/>
      <c r="X16" s="81">
        <f t="shared" ref="X16:X26" si="3">R16+T16+V16</f>
        <v>203280.45</v>
      </c>
      <c r="Y16" s="81">
        <f t="shared" ref="Y16:Y26" si="4">S16+U16+W16</f>
        <v>0</v>
      </c>
      <c r="Z16" s="72">
        <v>68714.630000000063</v>
      </c>
      <c r="AA16" s="81"/>
      <c r="AB16" s="71">
        <v>66475.709999999963</v>
      </c>
      <c r="AC16" s="81"/>
      <c r="AD16" s="71">
        <v>70624.27999999997</v>
      </c>
      <c r="AE16" s="81"/>
      <c r="AF16" s="81">
        <f t="shared" ref="AF16:AF26" si="5">Z16+AB16+AD16</f>
        <v>205814.62</v>
      </c>
      <c r="AG16" s="81">
        <f t="shared" ref="AG16:AG26" si="6">AA16+AC16+AE16</f>
        <v>0</v>
      </c>
      <c r="AH16" s="302"/>
    </row>
    <row r="17" spans="1:34" s="251" customFormat="1" ht="82.5" customHeight="1" x14ac:dyDescent="0.35">
      <c r="A17" s="246">
        <v>3</v>
      </c>
      <c r="B17" s="73" t="s">
        <v>71</v>
      </c>
      <c r="C17" s="250">
        <f t="shared" si="0"/>
        <v>180000</v>
      </c>
      <c r="D17" s="252">
        <f>80000+100000</f>
        <v>180000</v>
      </c>
      <c r="E17" s="252"/>
      <c r="F17" s="252"/>
      <c r="G17" s="73"/>
      <c r="H17" s="73" t="s">
        <v>45</v>
      </c>
      <c r="I17" s="73" t="s">
        <v>46</v>
      </c>
      <c r="J17" s="70">
        <v>6255</v>
      </c>
      <c r="K17" s="253"/>
      <c r="L17" s="70">
        <v>1358</v>
      </c>
      <c r="M17" s="81">
        <f t="shared" si="1"/>
        <v>7613</v>
      </c>
      <c r="N17" s="71">
        <v>0</v>
      </c>
      <c r="O17" s="71">
        <v>1497</v>
      </c>
      <c r="P17" s="71">
        <v>12680</v>
      </c>
      <c r="Q17" s="81">
        <f t="shared" si="2"/>
        <v>14177</v>
      </c>
      <c r="R17" s="71">
        <v>80846</v>
      </c>
      <c r="S17" s="81"/>
      <c r="T17" s="81"/>
      <c r="U17" s="81"/>
      <c r="V17" s="81"/>
      <c r="W17" s="81"/>
      <c r="X17" s="81">
        <f t="shared" si="3"/>
        <v>80846</v>
      </c>
      <c r="Y17" s="81">
        <f t="shared" si="4"/>
        <v>0</v>
      </c>
      <c r="Z17" s="81"/>
      <c r="AA17" s="81"/>
      <c r="AB17" s="81"/>
      <c r="AC17" s="81"/>
      <c r="AD17" s="71">
        <v>15007</v>
      </c>
      <c r="AE17" s="81"/>
      <c r="AF17" s="81">
        <f t="shared" si="5"/>
        <v>15007</v>
      </c>
      <c r="AG17" s="81">
        <f t="shared" si="6"/>
        <v>0</v>
      </c>
      <c r="AH17" s="303"/>
    </row>
    <row r="18" spans="1:34" s="251" customFormat="1" ht="78.75" customHeight="1" x14ac:dyDescent="0.35">
      <c r="A18" s="246">
        <v>4</v>
      </c>
      <c r="B18" s="73" t="s">
        <v>14</v>
      </c>
      <c r="C18" s="250">
        <f t="shared" si="0"/>
        <v>14000</v>
      </c>
      <c r="D18" s="252">
        <v>14000</v>
      </c>
      <c r="E18" s="254"/>
      <c r="F18" s="254"/>
      <c r="G18" s="249"/>
      <c r="H18" s="73" t="s">
        <v>72</v>
      </c>
      <c r="I18" s="73" t="s">
        <v>46</v>
      </c>
      <c r="J18" s="246"/>
      <c r="K18" s="253"/>
      <c r="L18" s="70">
        <v>4546.32</v>
      </c>
      <c r="M18" s="81">
        <f t="shared" si="1"/>
        <v>4546.32</v>
      </c>
      <c r="N18" s="71">
        <v>0</v>
      </c>
      <c r="O18" s="71">
        <v>8266.1799999999985</v>
      </c>
      <c r="P18" s="71">
        <v>0</v>
      </c>
      <c r="Q18" s="81">
        <f t="shared" si="2"/>
        <v>8266.1799999999985</v>
      </c>
      <c r="R18" s="81"/>
      <c r="S18" s="81"/>
      <c r="T18" s="81"/>
      <c r="U18" s="81"/>
      <c r="V18" s="81"/>
      <c r="W18" s="81"/>
      <c r="X18" s="81">
        <f t="shared" si="3"/>
        <v>0</v>
      </c>
      <c r="Y18" s="81">
        <f t="shared" si="4"/>
        <v>0</v>
      </c>
      <c r="Z18" s="81"/>
      <c r="AA18" s="81"/>
      <c r="AB18" s="81"/>
      <c r="AC18" s="81"/>
      <c r="AD18" s="81"/>
      <c r="AE18" s="81"/>
      <c r="AF18" s="81">
        <f t="shared" si="5"/>
        <v>0</v>
      </c>
      <c r="AG18" s="81">
        <f t="shared" si="6"/>
        <v>0</v>
      </c>
      <c r="AH18" s="73" t="s">
        <v>293</v>
      </c>
    </row>
    <row r="19" spans="1:34" s="251" customFormat="1" ht="212.25" customHeight="1" x14ac:dyDescent="0.35">
      <c r="A19" s="246">
        <v>5</v>
      </c>
      <c r="B19" s="73" t="s">
        <v>48</v>
      </c>
      <c r="C19" s="250">
        <f t="shared" si="0"/>
        <v>14000</v>
      </c>
      <c r="D19" s="252">
        <v>14000</v>
      </c>
      <c r="E19" s="254"/>
      <c r="F19" s="254"/>
      <c r="G19" s="249"/>
      <c r="H19" s="73" t="s">
        <v>47</v>
      </c>
      <c r="I19" s="73" t="s">
        <v>24</v>
      </c>
      <c r="J19" s="255"/>
      <c r="K19" s="255"/>
      <c r="L19" s="70">
        <v>7924.4400000000005</v>
      </c>
      <c r="M19" s="81">
        <f t="shared" si="1"/>
        <v>7924.4400000000005</v>
      </c>
      <c r="N19" s="71">
        <v>0</v>
      </c>
      <c r="O19" s="71">
        <v>4000</v>
      </c>
      <c r="P19" s="71">
        <v>0</v>
      </c>
      <c r="Q19" s="81">
        <f t="shared" si="2"/>
        <v>4000</v>
      </c>
      <c r="R19" s="81"/>
      <c r="S19" s="81"/>
      <c r="T19" s="81"/>
      <c r="U19" s="81"/>
      <c r="V19" s="81"/>
      <c r="W19" s="81"/>
      <c r="X19" s="81">
        <f t="shared" si="3"/>
        <v>0</v>
      </c>
      <c r="Y19" s="81">
        <f t="shared" si="4"/>
        <v>0</v>
      </c>
      <c r="Z19" s="81"/>
      <c r="AA19" s="81"/>
      <c r="AB19" s="81"/>
      <c r="AC19" s="81"/>
      <c r="AD19" s="81"/>
      <c r="AE19" s="81"/>
      <c r="AF19" s="81">
        <f t="shared" si="5"/>
        <v>0</v>
      </c>
      <c r="AG19" s="81">
        <f t="shared" si="6"/>
        <v>0</v>
      </c>
      <c r="AH19" s="73" t="s">
        <v>292</v>
      </c>
    </row>
    <row r="20" spans="1:34" s="251" customFormat="1" ht="198.75" customHeight="1" x14ac:dyDescent="0.35">
      <c r="A20" s="246">
        <v>6</v>
      </c>
      <c r="B20" s="73" t="s">
        <v>468</v>
      </c>
      <c r="C20" s="250">
        <f t="shared" si="0"/>
        <v>53000</v>
      </c>
      <c r="D20" s="252">
        <f>73000-20000</f>
        <v>53000</v>
      </c>
      <c r="E20" s="254"/>
      <c r="F20" s="254"/>
      <c r="G20" s="249"/>
      <c r="H20" s="73" t="s">
        <v>69</v>
      </c>
      <c r="I20" s="73" t="s">
        <v>102</v>
      </c>
      <c r="J20" s="255"/>
      <c r="K20" s="255"/>
      <c r="L20" s="70">
        <v>100</v>
      </c>
      <c r="M20" s="81">
        <f t="shared" si="1"/>
        <v>100</v>
      </c>
      <c r="N20" s="81"/>
      <c r="O20" s="81"/>
      <c r="P20" s="81"/>
      <c r="Q20" s="81">
        <f t="shared" si="2"/>
        <v>0</v>
      </c>
      <c r="R20" s="81"/>
      <c r="S20" s="81"/>
      <c r="T20" s="81"/>
      <c r="U20" s="81"/>
      <c r="V20" s="81"/>
      <c r="W20" s="81"/>
      <c r="X20" s="81">
        <f t="shared" si="3"/>
        <v>0</v>
      </c>
      <c r="Y20" s="81">
        <f t="shared" si="4"/>
        <v>0</v>
      </c>
      <c r="Z20" s="72">
        <v>7275.97</v>
      </c>
      <c r="AA20" s="81"/>
      <c r="AB20" s="81"/>
      <c r="AC20" s="81"/>
      <c r="AD20" s="71">
        <f>6112-3620.97</f>
        <v>2491.0300000000002</v>
      </c>
      <c r="AE20" s="81"/>
      <c r="AF20" s="81">
        <f t="shared" si="5"/>
        <v>9767</v>
      </c>
      <c r="AG20" s="81">
        <f t="shared" si="6"/>
        <v>0</v>
      </c>
      <c r="AH20" s="73" t="s">
        <v>420</v>
      </c>
    </row>
    <row r="21" spans="1:34" s="251" customFormat="1" ht="184.5" customHeight="1" x14ac:dyDescent="0.35">
      <c r="A21" s="246">
        <v>7</v>
      </c>
      <c r="B21" s="73" t="s">
        <v>86</v>
      </c>
      <c r="C21" s="250">
        <f t="shared" si="0"/>
        <v>10000</v>
      </c>
      <c r="D21" s="252">
        <v>10000</v>
      </c>
      <c r="E21" s="254"/>
      <c r="F21" s="254"/>
      <c r="G21" s="249"/>
      <c r="H21" s="73" t="s">
        <v>69</v>
      </c>
      <c r="I21" s="73" t="s">
        <v>49</v>
      </c>
      <c r="J21" s="255"/>
      <c r="K21" s="255"/>
      <c r="L21" s="255"/>
      <c r="M21" s="81">
        <f t="shared" si="1"/>
        <v>0</v>
      </c>
      <c r="N21" s="81"/>
      <c r="O21" s="71">
        <v>4778</v>
      </c>
      <c r="P21" s="81"/>
      <c r="Q21" s="81">
        <f t="shared" si="2"/>
        <v>4778</v>
      </c>
      <c r="R21" s="81"/>
      <c r="S21" s="81"/>
      <c r="T21" s="81"/>
      <c r="U21" s="81"/>
      <c r="V21" s="81"/>
      <c r="W21" s="81"/>
      <c r="X21" s="81">
        <f t="shared" si="3"/>
        <v>0</v>
      </c>
      <c r="Y21" s="81">
        <f t="shared" si="4"/>
        <v>0</v>
      </c>
      <c r="Z21" s="81"/>
      <c r="AA21" s="81"/>
      <c r="AB21" s="81"/>
      <c r="AC21" s="81"/>
      <c r="AD21" s="71">
        <v>4300</v>
      </c>
      <c r="AE21" s="81"/>
      <c r="AF21" s="81">
        <f t="shared" si="5"/>
        <v>4300</v>
      </c>
      <c r="AG21" s="81">
        <f t="shared" si="6"/>
        <v>0</v>
      </c>
      <c r="AH21" s="73" t="s">
        <v>419</v>
      </c>
    </row>
    <row r="22" spans="1:34" s="251" customFormat="1" ht="170.25" customHeight="1" x14ac:dyDescent="0.35">
      <c r="A22" s="246">
        <v>8</v>
      </c>
      <c r="B22" s="73" t="s">
        <v>90</v>
      </c>
      <c r="C22" s="250">
        <f t="shared" si="0"/>
        <v>17500</v>
      </c>
      <c r="D22" s="252">
        <v>15000</v>
      </c>
      <c r="E22" s="246">
        <f>2500</f>
        <v>2500</v>
      </c>
      <c r="F22" s="246"/>
      <c r="G22" s="73"/>
      <c r="H22" s="73" t="s">
        <v>104</v>
      </c>
      <c r="I22" s="73" t="s">
        <v>83</v>
      </c>
      <c r="J22" s="255"/>
      <c r="K22" s="255"/>
      <c r="L22" s="255"/>
      <c r="M22" s="81">
        <f t="shared" si="1"/>
        <v>0</v>
      </c>
      <c r="N22" s="81"/>
      <c r="O22" s="81"/>
      <c r="P22" s="81"/>
      <c r="Q22" s="81">
        <f t="shared" si="2"/>
        <v>0</v>
      </c>
      <c r="R22" s="81"/>
      <c r="S22" s="81"/>
      <c r="T22" s="81"/>
      <c r="U22" s="69">
        <v>2000</v>
      </c>
      <c r="V22" s="81"/>
      <c r="W22" s="81"/>
      <c r="X22" s="81">
        <f t="shared" si="3"/>
        <v>0</v>
      </c>
      <c r="Y22" s="81">
        <f t="shared" si="4"/>
        <v>2000</v>
      </c>
      <c r="Z22" s="81"/>
      <c r="AA22" s="81">
        <f>-142.84</f>
        <v>-142.84</v>
      </c>
      <c r="AB22" s="81"/>
      <c r="AC22" s="81"/>
      <c r="AD22" s="81"/>
      <c r="AE22" s="81"/>
      <c r="AF22" s="81">
        <f t="shared" si="5"/>
        <v>0</v>
      </c>
      <c r="AG22" s="81">
        <f t="shared" si="6"/>
        <v>-142.84</v>
      </c>
      <c r="AH22" s="73" t="s">
        <v>388</v>
      </c>
    </row>
    <row r="23" spans="1:34" s="251" customFormat="1" ht="162" x14ac:dyDescent="0.35">
      <c r="A23" s="246">
        <v>9</v>
      </c>
      <c r="B23" s="73" t="s">
        <v>367</v>
      </c>
      <c r="C23" s="250">
        <f t="shared" si="0"/>
        <v>15900</v>
      </c>
      <c r="D23" s="252"/>
      <c r="E23" s="246">
        <f>4000+3990+7910</f>
        <v>15900</v>
      </c>
      <c r="F23" s="246"/>
      <c r="G23" s="73"/>
      <c r="H23" s="73" t="s">
        <v>371</v>
      </c>
      <c r="I23" s="73" t="s">
        <v>322</v>
      </c>
      <c r="J23" s="255"/>
      <c r="K23" s="255"/>
      <c r="L23" s="255"/>
      <c r="M23" s="81"/>
      <c r="N23" s="81"/>
      <c r="O23" s="81"/>
      <c r="P23" s="81"/>
      <c r="Q23" s="81"/>
      <c r="R23" s="81"/>
      <c r="S23" s="81"/>
      <c r="T23" s="81"/>
      <c r="U23" s="81"/>
      <c r="V23" s="81"/>
      <c r="W23" s="69">
        <v>6375</v>
      </c>
      <c r="X23" s="81">
        <f t="shared" si="3"/>
        <v>0</v>
      </c>
      <c r="Y23" s="81">
        <f t="shared" si="4"/>
        <v>6375</v>
      </c>
      <c r="Z23" s="81"/>
      <c r="AA23" s="81"/>
      <c r="AB23" s="81"/>
      <c r="AC23" s="81">
        <v>7420</v>
      </c>
      <c r="AD23" s="81"/>
      <c r="AE23" s="81"/>
      <c r="AF23" s="81">
        <f t="shared" si="5"/>
        <v>0</v>
      </c>
      <c r="AG23" s="81">
        <f t="shared" si="6"/>
        <v>7420</v>
      </c>
      <c r="AH23" s="73" t="s">
        <v>423</v>
      </c>
    </row>
    <row r="24" spans="1:34" s="251" customFormat="1" ht="162" x14ac:dyDescent="0.35">
      <c r="A24" s="246">
        <v>10</v>
      </c>
      <c r="B24" s="73" t="s">
        <v>368</v>
      </c>
      <c r="C24" s="250">
        <f t="shared" si="0"/>
        <v>1550</v>
      </c>
      <c r="D24" s="252"/>
      <c r="E24" s="246">
        <v>1550</v>
      </c>
      <c r="F24" s="246"/>
      <c r="G24" s="73"/>
      <c r="H24" s="73" t="s">
        <v>371</v>
      </c>
      <c r="I24" s="73" t="s">
        <v>372</v>
      </c>
      <c r="J24" s="255"/>
      <c r="K24" s="255"/>
      <c r="L24" s="255"/>
      <c r="M24" s="81"/>
      <c r="N24" s="81"/>
      <c r="O24" s="81"/>
      <c r="P24" s="81"/>
      <c r="Q24" s="81"/>
      <c r="R24" s="81"/>
      <c r="S24" s="81"/>
      <c r="T24" s="81"/>
      <c r="U24" s="81"/>
      <c r="V24" s="81"/>
      <c r="W24" s="81"/>
      <c r="X24" s="81">
        <f t="shared" si="3"/>
        <v>0</v>
      </c>
      <c r="Y24" s="81">
        <f t="shared" si="4"/>
        <v>0</v>
      </c>
      <c r="Z24" s="81"/>
      <c r="AA24" s="69">
        <v>1419</v>
      </c>
      <c r="AB24" s="81"/>
      <c r="AC24" s="81"/>
      <c r="AD24" s="81"/>
      <c r="AE24" s="81"/>
      <c r="AF24" s="81">
        <f t="shared" si="5"/>
        <v>0</v>
      </c>
      <c r="AG24" s="81">
        <f t="shared" si="6"/>
        <v>1419</v>
      </c>
      <c r="AH24" s="73" t="s">
        <v>389</v>
      </c>
    </row>
    <row r="25" spans="1:34" s="251" customFormat="1" ht="162" x14ac:dyDescent="0.35">
      <c r="A25" s="246">
        <v>11</v>
      </c>
      <c r="B25" s="73" t="s">
        <v>369</v>
      </c>
      <c r="C25" s="250">
        <f t="shared" si="0"/>
        <v>2550</v>
      </c>
      <c r="D25" s="252"/>
      <c r="E25" s="246">
        <v>2550</v>
      </c>
      <c r="F25" s="246"/>
      <c r="G25" s="73"/>
      <c r="H25" s="73" t="s">
        <v>371</v>
      </c>
      <c r="I25" s="73" t="s">
        <v>314</v>
      </c>
      <c r="J25" s="255"/>
      <c r="K25" s="255"/>
      <c r="L25" s="255"/>
      <c r="M25" s="81"/>
      <c r="N25" s="81"/>
      <c r="O25" s="81"/>
      <c r="P25" s="81"/>
      <c r="Q25" s="81"/>
      <c r="R25" s="81"/>
      <c r="S25" s="81"/>
      <c r="T25" s="81"/>
      <c r="U25" s="81"/>
      <c r="V25" s="81"/>
      <c r="W25" s="81"/>
      <c r="X25" s="81">
        <f t="shared" si="3"/>
        <v>0</v>
      </c>
      <c r="Y25" s="81">
        <f t="shared" si="4"/>
        <v>0</v>
      </c>
      <c r="Z25" s="81"/>
      <c r="AA25" s="69">
        <v>2550</v>
      </c>
      <c r="AB25" s="81"/>
      <c r="AC25" s="81"/>
      <c r="AD25" s="81"/>
      <c r="AE25" s="81"/>
      <c r="AF25" s="81">
        <f t="shared" si="5"/>
        <v>0</v>
      </c>
      <c r="AG25" s="81">
        <f t="shared" si="6"/>
        <v>2550</v>
      </c>
      <c r="AH25" s="73" t="s">
        <v>421</v>
      </c>
    </row>
    <row r="26" spans="1:34" s="251" customFormat="1" ht="144" x14ac:dyDescent="0.35">
      <c r="A26" s="246">
        <v>12</v>
      </c>
      <c r="B26" s="247" t="s">
        <v>370</v>
      </c>
      <c r="C26" s="250">
        <f t="shared" si="0"/>
        <v>8420</v>
      </c>
      <c r="D26" s="252"/>
      <c r="E26" s="246">
        <f>500+6000+1920</f>
        <v>8420</v>
      </c>
      <c r="F26" s="246"/>
      <c r="G26" s="73"/>
      <c r="H26" s="247" t="s">
        <v>373</v>
      </c>
      <c r="I26" s="247" t="s">
        <v>374</v>
      </c>
      <c r="J26" s="255"/>
      <c r="K26" s="255"/>
      <c r="L26" s="255"/>
      <c r="M26" s="81"/>
      <c r="N26" s="81"/>
      <c r="O26" s="81"/>
      <c r="P26" s="81"/>
      <c r="Q26" s="81"/>
      <c r="R26" s="81"/>
      <c r="S26" s="81"/>
      <c r="T26" s="81"/>
      <c r="U26" s="81"/>
      <c r="V26" s="81"/>
      <c r="W26" s="81"/>
      <c r="X26" s="81">
        <f t="shared" si="3"/>
        <v>0</v>
      </c>
      <c r="Y26" s="81">
        <f t="shared" si="4"/>
        <v>0</v>
      </c>
      <c r="Z26" s="81"/>
      <c r="AA26" s="81"/>
      <c r="AB26" s="81"/>
      <c r="AC26" s="81"/>
      <c r="AD26" s="81"/>
      <c r="AE26" s="69">
        <f>500+6000+1920</f>
        <v>8420</v>
      </c>
      <c r="AF26" s="81">
        <f t="shared" si="5"/>
        <v>0</v>
      </c>
      <c r="AG26" s="81">
        <f t="shared" si="6"/>
        <v>8420</v>
      </c>
      <c r="AH26" s="73" t="s">
        <v>422</v>
      </c>
    </row>
    <row r="27" spans="1:34" s="258" customFormat="1" ht="33.75" customHeight="1" x14ac:dyDescent="0.35">
      <c r="A27" s="256"/>
      <c r="B27" s="256" t="s">
        <v>13</v>
      </c>
      <c r="C27" s="74">
        <f>SUM(D27:G27)</f>
        <v>1508479</v>
      </c>
      <c r="D27" s="257">
        <f>SUM(D15:D26)</f>
        <v>1477559</v>
      </c>
      <c r="E27" s="257">
        <f t="shared" ref="E27:G27" si="7">SUM(E15:E26)</f>
        <v>30920</v>
      </c>
      <c r="F27" s="257">
        <f t="shared" si="7"/>
        <v>0</v>
      </c>
      <c r="G27" s="257">
        <f t="shared" si="7"/>
        <v>0</v>
      </c>
      <c r="J27" s="257">
        <f>SUM(J15:J22)</f>
        <v>95519.11</v>
      </c>
      <c r="K27" s="257">
        <f t="shared" ref="K27:P27" si="8">SUM(K15:K22)</f>
        <v>82223.199999999997</v>
      </c>
      <c r="L27" s="257">
        <f t="shared" si="8"/>
        <v>97716.900000000023</v>
      </c>
      <c r="M27" s="257">
        <f t="shared" si="8"/>
        <v>275459.21000000002</v>
      </c>
      <c r="N27" s="257">
        <f t="shared" si="8"/>
        <v>84969.43</v>
      </c>
      <c r="O27" s="257">
        <f t="shared" si="8"/>
        <v>101636.46999999997</v>
      </c>
      <c r="P27" s="257">
        <f t="shared" si="8"/>
        <v>98293.38</v>
      </c>
      <c r="Q27" s="257">
        <f>SUM(Q15:Q22)</f>
        <v>284899.27999999997</v>
      </c>
      <c r="R27" s="257">
        <f>SUM(R15:R26)</f>
        <v>244349</v>
      </c>
      <c r="S27" s="257">
        <f t="shared" ref="S27:Y27" si="9">SUM(S15:S26)</f>
        <v>0</v>
      </c>
      <c r="T27" s="257">
        <f t="shared" si="9"/>
        <v>13648.660000000003</v>
      </c>
      <c r="U27" s="257">
        <f t="shared" si="9"/>
        <v>2000</v>
      </c>
      <c r="V27" s="257">
        <f t="shared" si="9"/>
        <v>81668.850000000006</v>
      </c>
      <c r="W27" s="257">
        <f t="shared" si="9"/>
        <v>6375</v>
      </c>
      <c r="X27" s="257">
        <f t="shared" si="9"/>
        <v>339666.51</v>
      </c>
      <c r="Y27" s="257">
        <f t="shared" si="9"/>
        <v>8375</v>
      </c>
      <c r="Z27" s="257">
        <f>SUM(Z15:Z26)</f>
        <v>93360.600000000064</v>
      </c>
      <c r="AA27" s="257">
        <f t="shared" ref="AA27:AG27" si="10">SUM(AA15:AA26)</f>
        <v>3826.16</v>
      </c>
      <c r="AB27" s="257">
        <f t="shared" si="10"/>
        <v>83845.709999999963</v>
      </c>
      <c r="AC27" s="257">
        <f t="shared" si="10"/>
        <v>7420</v>
      </c>
      <c r="AD27" s="257">
        <f t="shared" si="10"/>
        <v>109792.30999999997</v>
      </c>
      <c r="AE27" s="257">
        <f t="shared" si="10"/>
        <v>8420</v>
      </c>
      <c r="AF27" s="257">
        <f t="shared" si="10"/>
        <v>286998.62</v>
      </c>
      <c r="AG27" s="257">
        <f t="shared" si="10"/>
        <v>19666.16</v>
      </c>
    </row>
    <row r="28" spans="1:34" x14ac:dyDescent="0.3">
      <c r="B28" s="259"/>
      <c r="C28" s="260"/>
      <c r="D28" s="260"/>
      <c r="E28" s="260"/>
      <c r="F28" s="260"/>
      <c r="G28" s="260"/>
    </row>
    <row r="29" spans="1:34" x14ac:dyDescent="0.3">
      <c r="B29" s="261"/>
      <c r="C29" s="260"/>
      <c r="D29" s="260"/>
      <c r="E29" s="260"/>
      <c r="F29" s="260"/>
    </row>
    <row r="30" spans="1:34" x14ac:dyDescent="0.3">
      <c r="G30" s="260"/>
    </row>
    <row r="31" spans="1:34" x14ac:dyDescent="0.3">
      <c r="A31" s="298"/>
      <c r="B31" s="298"/>
      <c r="C31" s="298"/>
      <c r="D31" s="298"/>
      <c r="E31" s="298"/>
      <c r="F31" s="298"/>
      <c r="G31" s="298"/>
      <c r="H31" s="298"/>
      <c r="I31" s="298"/>
    </row>
  </sheetData>
  <mergeCells count="37">
    <mergeCell ref="N14:Q14"/>
    <mergeCell ref="T13:U13"/>
    <mergeCell ref="V13:W13"/>
    <mergeCell ref="AH15:AH17"/>
    <mergeCell ref="J12:M12"/>
    <mergeCell ref="AH12:AH14"/>
    <mergeCell ref="R12:Y12"/>
    <mergeCell ref="X13:Y13"/>
    <mergeCell ref="R13:S13"/>
    <mergeCell ref="N12:Q12"/>
    <mergeCell ref="Z12:AG12"/>
    <mergeCell ref="Z13:AA13"/>
    <mergeCell ref="AB13:AC13"/>
    <mergeCell ref="AD13:AE13"/>
    <mergeCell ref="AF13:AG13"/>
    <mergeCell ref="J14:M14"/>
    <mergeCell ref="A31:I31"/>
    <mergeCell ref="A7:G7"/>
    <mergeCell ref="B8:G8"/>
    <mergeCell ref="D12:G12"/>
    <mergeCell ref="A12:A14"/>
    <mergeCell ref="B12:B14"/>
    <mergeCell ref="C12:C14"/>
    <mergeCell ref="A10:I10"/>
    <mergeCell ref="H7:I7"/>
    <mergeCell ref="H12:H14"/>
    <mergeCell ref="I12:I14"/>
    <mergeCell ref="A9:I9"/>
    <mergeCell ref="D13:D14"/>
    <mergeCell ref="E13:E14"/>
    <mergeCell ref="F13:F14"/>
    <mergeCell ref="G13:G14"/>
    <mergeCell ref="A1:I1"/>
    <mergeCell ref="B2:I2"/>
    <mergeCell ref="B3:I3"/>
    <mergeCell ref="B5:I5"/>
    <mergeCell ref="A6:I6"/>
  </mergeCells>
  <pageMargins left="0.31496062992125984" right="0.31496062992125984" top="0.35433070866141736" bottom="0.35433070866141736" header="0.11811023622047245" footer="0.19685039370078741"/>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AR28"/>
  <sheetViews>
    <sheetView zoomScale="70" zoomScaleNormal="70" zoomScaleSheetLayoutView="85" workbookViewId="0">
      <selection activeCell="A6" sqref="A6:I6"/>
    </sheetView>
  </sheetViews>
  <sheetFormatPr defaultColWidth="8.75" defaultRowHeight="18" x14ac:dyDescent="0.25"/>
  <cols>
    <col min="1" max="1" width="5" style="262" customWidth="1"/>
    <col min="2" max="2" width="66" style="262" customWidth="1"/>
    <col min="3" max="3" width="14.25" style="262" customWidth="1"/>
    <col min="4" max="4" width="13.875" style="262" customWidth="1"/>
    <col min="5" max="5" width="14.75" style="262" customWidth="1"/>
    <col min="6" max="6" width="15.25" style="262" customWidth="1"/>
    <col min="7" max="7" width="14" style="262" customWidth="1"/>
    <col min="8" max="8" width="35" style="262" customWidth="1"/>
    <col min="9" max="9" width="28" style="262" customWidth="1"/>
    <col min="10" max="10" width="12.625" style="268" customWidth="1"/>
    <col min="11" max="11" width="13" style="268" customWidth="1"/>
    <col min="12" max="12" width="12" style="268" customWidth="1"/>
    <col min="13" max="13" width="9.75" style="268" customWidth="1"/>
    <col min="14" max="14" width="13.625" style="268" customWidth="1"/>
    <col min="15" max="15" width="9.875" style="268" customWidth="1"/>
    <col min="16" max="16" width="11.625" style="269" customWidth="1"/>
    <col min="17" max="17" width="13.625" style="269" customWidth="1"/>
    <col min="18" max="33" width="13.625" style="256" customWidth="1"/>
    <col min="34" max="34" width="14.875" style="263" customWidth="1"/>
    <col min="35" max="35" width="13.625" style="263" customWidth="1"/>
    <col min="36" max="36" width="15.25" style="263" customWidth="1"/>
    <col min="37" max="37" width="13.625" style="263" customWidth="1"/>
    <col min="38" max="38" width="15.75" style="263" customWidth="1"/>
    <col min="39" max="39" width="13.625" style="263" customWidth="1"/>
    <col min="40" max="40" width="16" style="256" customWidth="1"/>
    <col min="41" max="41" width="13.625" style="256" customWidth="1"/>
    <col min="42" max="42" width="54.25" style="263" customWidth="1"/>
    <col min="43" max="16384" width="8.75" style="262"/>
  </cols>
  <sheetData>
    <row r="1" spans="1:42" ht="46.5" customHeight="1" x14ac:dyDescent="0.25">
      <c r="A1" s="294" t="s">
        <v>61</v>
      </c>
      <c r="B1" s="294"/>
      <c r="C1" s="294"/>
      <c r="D1" s="294"/>
      <c r="E1" s="294"/>
      <c r="F1" s="294"/>
      <c r="G1" s="294"/>
      <c r="H1" s="294"/>
      <c r="I1" s="294"/>
    </row>
    <row r="2" spans="1:42" ht="61.9" customHeight="1" x14ac:dyDescent="0.25">
      <c r="A2" s="243"/>
      <c r="B2" s="295" t="s">
        <v>0</v>
      </c>
      <c r="C2" s="295"/>
      <c r="D2" s="295"/>
      <c r="E2" s="295"/>
      <c r="F2" s="295"/>
      <c r="G2" s="295"/>
      <c r="H2" s="295"/>
      <c r="I2" s="295"/>
    </row>
    <row r="3" spans="1:42" ht="42" customHeight="1" x14ac:dyDescent="0.25">
      <c r="A3" s="243"/>
      <c r="B3" s="296" t="s">
        <v>25</v>
      </c>
      <c r="C3" s="296"/>
      <c r="D3" s="296"/>
      <c r="E3" s="296"/>
      <c r="F3" s="296"/>
      <c r="G3" s="296"/>
      <c r="H3" s="296"/>
      <c r="I3" s="296"/>
    </row>
    <row r="4" spans="1:42" ht="9" customHeight="1" x14ac:dyDescent="0.25">
      <c r="A4" s="144"/>
      <c r="B4" s="144"/>
      <c r="C4" s="144"/>
      <c r="D4" s="144"/>
      <c r="E4" s="144"/>
      <c r="F4" s="144"/>
      <c r="G4" s="144"/>
      <c r="H4" s="144"/>
      <c r="I4" s="144"/>
    </row>
    <row r="5" spans="1:42" ht="113.45" customHeight="1" x14ac:dyDescent="0.25">
      <c r="A5" s="144"/>
      <c r="B5" s="297" t="s">
        <v>469</v>
      </c>
      <c r="C5" s="297"/>
      <c r="D5" s="297"/>
      <c r="E5" s="297"/>
      <c r="F5" s="297"/>
      <c r="G5" s="297"/>
      <c r="H5" s="297"/>
      <c r="I5" s="297"/>
    </row>
    <row r="6" spans="1:42" ht="338.45" customHeight="1" x14ac:dyDescent="0.25">
      <c r="A6" s="297" t="s">
        <v>470</v>
      </c>
      <c r="B6" s="297"/>
      <c r="C6" s="297"/>
      <c r="D6" s="297"/>
      <c r="E6" s="297"/>
      <c r="F6" s="297"/>
      <c r="G6" s="297"/>
      <c r="H6" s="297"/>
      <c r="I6" s="297"/>
    </row>
    <row r="7" spans="1:42" ht="72.75" customHeight="1" x14ac:dyDescent="0.25">
      <c r="A7" s="299" t="s">
        <v>35</v>
      </c>
      <c r="B7" s="299"/>
      <c r="C7" s="299"/>
      <c r="D7" s="299"/>
      <c r="E7" s="299"/>
      <c r="F7" s="299"/>
      <c r="G7" s="299"/>
      <c r="H7" s="264" t="s">
        <v>26</v>
      </c>
      <c r="I7" s="153"/>
    </row>
    <row r="8" spans="1:42" ht="37.5" customHeight="1" x14ac:dyDescent="0.25">
      <c r="A8" s="245"/>
      <c r="B8" s="299" t="s">
        <v>36</v>
      </c>
      <c r="C8" s="299"/>
      <c r="D8" s="299"/>
      <c r="E8" s="299"/>
      <c r="F8" s="299"/>
      <c r="G8" s="299"/>
      <c r="H8" s="245" t="s">
        <v>67</v>
      </c>
      <c r="I8" s="153"/>
    </row>
    <row r="9" spans="1:42" ht="5.25" customHeight="1" x14ac:dyDescent="0.25">
      <c r="A9" s="144"/>
      <c r="B9" s="144"/>
      <c r="C9" s="144"/>
      <c r="D9" s="144"/>
      <c r="E9" s="144"/>
      <c r="F9" s="144"/>
      <c r="G9" s="144"/>
      <c r="H9" s="144"/>
      <c r="I9" s="144"/>
    </row>
    <row r="10" spans="1:42" ht="24" customHeight="1" x14ac:dyDescent="0.25">
      <c r="A10" s="299" t="s">
        <v>6</v>
      </c>
      <c r="B10" s="299"/>
      <c r="C10" s="299"/>
      <c r="D10" s="299"/>
      <c r="E10" s="299"/>
      <c r="F10" s="299"/>
      <c r="G10" s="299"/>
      <c r="H10" s="299"/>
      <c r="I10" s="299"/>
    </row>
    <row r="11" spans="1:42" ht="8.25" hidden="1" customHeight="1" x14ac:dyDescent="0.25">
      <c r="A11" s="144"/>
      <c r="B11" s="144"/>
      <c r="C11" s="144"/>
      <c r="D11" s="144"/>
      <c r="E11" s="144"/>
      <c r="F11" s="144"/>
      <c r="G11" s="144"/>
      <c r="H11" s="144"/>
      <c r="I11" s="144"/>
    </row>
    <row r="12" spans="1:42" ht="8.25" customHeight="1" x14ac:dyDescent="0.25">
      <c r="A12" s="144"/>
      <c r="B12" s="144"/>
      <c r="C12" s="144"/>
      <c r="D12" s="144"/>
      <c r="E12" s="144"/>
      <c r="F12" s="144"/>
      <c r="G12" s="144"/>
      <c r="H12" s="144"/>
      <c r="I12" s="144"/>
    </row>
    <row r="13" spans="1:42" s="248" customFormat="1" ht="30.75" customHeight="1" x14ac:dyDescent="0.25">
      <c r="A13" s="300" t="s">
        <v>1</v>
      </c>
      <c r="B13" s="300" t="s">
        <v>42</v>
      </c>
      <c r="C13" s="300" t="s">
        <v>2</v>
      </c>
      <c r="D13" s="300" t="s">
        <v>43</v>
      </c>
      <c r="E13" s="300"/>
      <c r="F13" s="300"/>
      <c r="G13" s="300"/>
      <c r="H13" s="300" t="s">
        <v>16</v>
      </c>
      <c r="I13" s="300" t="s">
        <v>3</v>
      </c>
      <c r="J13" s="314" t="s">
        <v>301</v>
      </c>
      <c r="K13" s="314"/>
      <c r="L13" s="314"/>
      <c r="M13" s="314"/>
      <c r="N13" s="314"/>
      <c r="O13" s="314"/>
      <c r="P13" s="314"/>
      <c r="Q13" s="314"/>
      <c r="R13" s="311" t="s">
        <v>300</v>
      </c>
      <c r="S13" s="312"/>
      <c r="T13" s="312"/>
      <c r="U13" s="312"/>
      <c r="V13" s="312"/>
      <c r="W13" s="312"/>
      <c r="X13" s="312"/>
      <c r="Y13" s="313"/>
      <c r="Z13" s="311" t="s">
        <v>366</v>
      </c>
      <c r="AA13" s="312"/>
      <c r="AB13" s="312"/>
      <c r="AC13" s="312"/>
      <c r="AD13" s="312"/>
      <c r="AE13" s="312"/>
      <c r="AF13" s="312"/>
      <c r="AG13" s="313"/>
      <c r="AH13" s="311" t="s">
        <v>414</v>
      </c>
      <c r="AI13" s="312"/>
      <c r="AJ13" s="312"/>
      <c r="AK13" s="312"/>
      <c r="AL13" s="312"/>
      <c r="AM13" s="312"/>
      <c r="AN13" s="312"/>
      <c r="AO13" s="313"/>
      <c r="AP13" s="300" t="s">
        <v>288</v>
      </c>
    </row>
    <row r="14" spans="1:42" s="248" customFormat="1" ht="30.75" customHeight="1" x14ac:dyDescent="0.25">
      <c r="A14" s="300"/>
      <c r="B14" s="300"/>
      <c r="C14" s="300"/>
      <c r="D14" s="301" t="s">
        <v>7</v>
      </c>
      <c r="E14" s="301" t="s">
        <v>12</v>
      </c>
      <c r="F14" s="301" t="s">
        <v>40</v>
      </c>
      <c r="G14" s="301" t="s">
        <v>41</v>
      </c>
      <c r="H14" s="300"/>
      <c r="I14" s="300"/>
      <c r="J14" s="314" t="s">
        <v>285</v>
      </c>
      <c r="K14" s="314"/>
      <c r="L14" s="314" t="s">
        <v>286</v>
      </c>
      <c r="M14" s="314"/>
      <c r="N14" s="314" t="s">
        <v>287</v>
      </c>
      <c r="O14" s="314"/>
      <c r="P14" s="314" t="s">
        <v>13</v>
      </c>
      <c r="Q14" s="314"/>
      <c r="R14" s="311" t="s">
        <v>297</v>
      </c>
      <c r="S14" s="313"/>
      <c r="T14" s="311" t="s">
        <v>298</v>
      </c>
      <c r="U14" s="313"/>
      <c r="V14" s="311" t="s">
        <v>299</v>
      </c>
      <c r="W14" s="313"/>
      <c r="X14" s="311" t="s">
        <v>13</v>
      </c>
      <c r="Y14" s="313"/>
      <c r="Z14" s="311" t="s">
        <v>363</v>
      </c>
      <c r="AA14" s="313"/>
      <c r="AB14" s="311" t="s">
        <v>364</v>
      </c>
      <c r="AC14" s="313"/>
      <c r="AD14" s="311" t="s">
        <v>365</v>
      </c>
      <c r="AE14" s="313"/>
      <c r="AF14" s="311" t="s">
        <v>13</v>
      </c>
      <c r="AG14" s="313"/>
      <c r="AH14" s="314" t="s">
        <v>415</v>
      </c>
      <c r="AI14" s="314"/>
      <c r="AJ14" s="314" t="s">
        <v>416</v>
      </c>
      <c r="AK14" s="314"/>
      <c r="AL14" s="314" t="s">
        <v>417</v>
      </c>
      <c r="AM14" s="314"/>
      <c r="AN14" s="314" t="s">
        <v>13</v>
      </c>
      <c r="AO14" s="314"/>
      <c r="AP14" s="300"/>
    </row>
    <row r="15" spans="1:42" s="248" customFormat="1" ht="81" customHeight="1" x14ac:dyDescent="0.25">
      <c r="A15" s="300"/>
      <c r="B15" s="300"/>
      <c r="C15" s="300"/>
      <c r="D15" s="303"/>
      <c r="E15" s="303"/>
      <c r="F15" s="303"/>
      <c r="G15" s="303"/>
      <c r="H15" s="300"/>
      <c r="I15" s="300"/>
      <c r="J15" s="247" t="s">
        <v>7</v>
      </c>
      <c r="K15" s="247" t="s">
        <v>12</v>
      </c>
      <c r="L15" s="247" t="s">
        <v>7</v>
      </c>
      <c r="M15" s="247" t="s">
        <v>12</v>
      </c>
      <c r="N15" s="247" t="s">
        <v>7</v>
      </c>
      <c r="O15" s="247" t="s">
        <v>12</v>
      </c>
      <c r="P15" s="247" t="s">
        <v>7</v>
      </c>
      <c r="Q15" s="247" t="s">
        <v>12</v>
      </c>
      <c r="R15" s="247" t="s">
        <v>7</v>
      </c>
      <c r="S15" s="247" t="s">
        <v>12</v>
      </c>
      <c r="T15" s="247" t="s">
        <v>7</v>
      </c>
      <c r="U15" s="247" t="s">
        <v>12</v>
      </c>
      <c r="V15" s="247" t="s">
        <v>7</v>
      </c>
      <c r="W15" s="247" t="s">
        <v>12</v>
      </c>
      <c r="X15" s="247" t="s">
        <v>7</v>
      </c>
      <c r="Y15" s="247" t="s">
        <v>12</v>
      </c>
      <c r="Z15" s="247" t="s">
        <v>7</v>
      </c>
      <c r="AA15" s="247" t="s">
        <v>12</v>
      </c>
      <c r="AB15" s="247" t="s">
        <v>7</v>
      </c>
      <c r="AC15" s="247" t="s">
        <v>12</v>
      </c>
      <c r="AD15" s="247" t="s">
        <v>7</v>
      </c>
      <c r="AE15" s="247" t="s">
        <v>12</v>
      </c>
      <c r="AF15" s="247" t="s">
        <v>7</v>
      </c>
      <c r="AG15" s="247" t="s">
        <v>12</v>
      </c>
      <c r="AH15" s="247" t="s">
        <v>7</v>
      </c>
      <c r="AI15" s="247" t="s">
        <v>12</v>
      </c>
      <c r="AJ15" s="247" t="s">
        <v>7</v>
      </c>
      <c r="AK15" s="247" t="s">
        <v>12</v>
      </c>
      <c r="AL15" s="247" t="s">
        <v>7</v>
      </c>
      <c r="AM15" s="247" t="s">
        <v>12</v>
      </c>
      <c r="AN15" s="247" t="s">
        <v>7</v>
      </c>
      <c r="AO15" s="247" t="s">
        <v>12</v>
      </c>
      <c r="AP15" s="300"/>
    </row>
    <row r="16" spans="1:42" s="263" customFormat="1" ht="63" customHeight="1" x14ac:dyDescent="0.25">
      <c r="A16" s="246">
        <v>1</v>
      </c>
      <c r="B16" s="73" t="s">
        <v>22</v>
      </c>
      <c r="C16" s="250">
        <f>D16+E16+F16+G16</f>
        <v>437515</v>
      </c>
      <c r="D16" s="250">
        <f>399600+37122+793</f>
        <v>437515</v>
      </c>
      <c r="E16" s="250"/>
      <c r="F16" s="250"/>
      <c r="G16" s="250"/>
      <c r="H16" s="73" t="s">
        <v>45</v>
      </c>
      <c r="I16" s="73" t="s">
        <v>46</v>
      </c>
      <c r="J16" s="70">
        <v>36660</v>
      </c>
      <c r="K16" s="246"/>
      <c r="L16" s="70">
        <v>36660</v>
      </c>
      <c r="M16" s="246"/>
      <c r="N16" s="70">
        <v>36660</v>
      </c>
      <c r="O16" s="246"/>
      <c r="P16" s="265">
        <f>J16+L16+N16</f>
        <v>109980</v>
      </c>
      <c r="Q16" s="265">
        <f>K16+M16+O16</f>
        <v>0</v>
      </c>
      <c r="R16" s="71">
        <v>36660</v>
      </c>
      <c r="S16" s="265"/>
      <c r="T16" s="71">
        <v>36660</v>
      </c>
      <c r="U16" s="265"/>
      <c r="V16" s="71">
        <v>36660</v>
      </c>
      <c r="W16" s="265"/>
      <c r="X16" s="265">
        <f>R16+T16+V16</f>
        <v>109980</v>
      </c>
      <c r="Y16" s="265">
        <f>S16+U16+W16</f>
        <v>0</v>
      </c>
      <c r="Z16" s="265">
        <v>54236.06</v>
      </c>
      <c r="AA16" s="265"/>
      <c r="AB16" s="71">
        <v>19697.27999999997</v>
      </c>
      <c r="AC16" s="265"/>
      <c r="AD16" s="71">
        <v>35034.760000000009</v>
      </c>
      <c r="AE16" s="265"/>
      <c r="AF16" s="265">
        <f>Z16+AB16+AD16</f>
        <v>108968.09999999998</v>
      </c>
      <c r="AG16" s="265">
        <f>AA16+AC16+AE16</f>
        <v>0</v>
      </c>
      <c r="AH16" s="72">
        <v>35686.359999999986</v>
      </c>
      <c r="AI16" s="265"/>
      <c r="AJ16" s="71">
        <v>36450</v>
      </c>
      <c r="AK16" s="265"/>
      <c r="AL16" s="71">
        <v>36450</v>
      </c>
      <c r="AM16" s="265"/>
      <c r="AN16" s="265">
        <f>AH16+AJ16+AL16</f>
        <v>108586.35999999999</v>
      </c>
      <c r="AO16" s="265">
        <f>AI16+AK16+AM16</f>
        <v>0</v>
      </c>
      <c r="AP16" s="301" t="s">
        <v>289</v>
      </c>
    </row>
    <row r="17" spans="1:44" s="263" customFormat="1" ht="66" customHeight="1" x14ac:dyDescent="0.25">
      <c r="A17" s="246">
        <v>2</v>
      </c>
      <c r="B17" s="73" t="s">
        <v>23</v>
      </c>
      <c r="C17" s="250">
        <f t="shared" ref="C17:C25" si="0">D17+E17+F17+G17</f>
        <v>1784290</v>
      </c>
      <c r="D17" s="252">
        <f>1968900+163098-230000-793-112730-4185</f>
        <v>1784290</v>
      </c>
      <c r="E17" s="252"/>
      <c r="F17" s="252"/>
      <c r="G17" s="250"/>
      <c r="H17" s="73" t="s">
        <v>45</v>
      </c>
      <c r="I17" s="73" t="s">
        <v>46</v>
      </c>
      <c r="J17" s="70">
        <v>149075.47</v>
      </c>
      <c r="K17" s="246"/>
      <c r="L17" s="70">
        <v>149075.47</v>
      </c>
      <c r="M17" s="246"/>
      <c r="N17" s="70">
        <v>149849.81000000003</v>
      </c>
      <c r="O17" s="246"/>
      <c r="P17" s="265">
        <f t="shared" ref="P17:P24" si="1">J17+L17+N17</f>
        <v>448000.75</v>
      </c>
      <c r="Q17" s="265">
        <f t="shared" ref="Q17:Q24" si="2">K17+M17+O17</f>
        <v>0</v>
      </c>
      <c r="R17" s="71">
        <v>149802.14000000004</v>
      </c>
      <c r="S17" s="265"/>
      <c r="T17" s="71">
        <v>149691.94000000003</v>
      </c>
      <c r="U17" s="265"/>
      <c r="V17" s="71">
        <v>149765.00000000003</v>
      </c>
      <c r="W17" s="265"/>
      <c r="X17" s="265">
        <f t="shared" ref="X17:X24" si="3">R17+T17+V17</f>
        <v>449259.08000000007</v>
      </c>
      <c r="Y17" s="265">
        <f t="shared" ref="Y17:Y24" si="4">S17+U17+W17</f>
        <v>0</v>
      </c>
      <c r="Z17" s="71">
        <v>307332.18999999994</v>
      </c>
      <c r="AA17" s="265"/>
      <c r="AB17" s="265"/>
      <c r="AC17" s="265"/>
      <c r="AD17" s="71">
        <v>142130.17999999993</v>
      </c>
      <c r="AE17" s="265"/>
      <c r="AF17" s="265">
        <f t="shared" ref="AF17:AF25" si="5">Z17+AB17+AD17</f>
        <v>449462.36999999988</v>
      </c>
      <c r="AG17" s="265">
        <f t="shared" ref="AG17:AG25" si="6">AA17+AC17+AE17</f>
        <v>0</v>
      </c>
      <c r="AH17" s="72">
        <v>145936.81000000006</v>
      </c>
      <c r="AI17" s="265"/>
      <c r="AJ17" s="71">
        <v>145815</v>
      </c>
      <c r="AK17" s="265"/>
      <c r="AL17" s="71">
        <v>145814.99999999988</v>
      </c>
      <c r="AM17" s="265"/>
      <c r="AN17" s="265">
        <f t="shared" ref="AN17:AN25" si="7">AH17+AJ17+AL17</f>
        <v>437566.80999999994</v>
      </c>
      <c r="AO17" s="265">
        <f t="shared" ref="AO17:AO25" si="8">AI17+AK17+AM17</f>
        <v>0</v>
      </c>
      <c r="AP17" s="302"/>
    </row>
    <row r="18" spans="1:44" s="263" customFormat="1" ht="84" customHeight="1" x14ac:dyDescent="0.25">
      <c r="A18" s="246">
        <v>3</v>
      </c>
      <c r="B18" s="73" t="s">
        <v>284</v>
      </c>
      <c r="C18" s="250">
        <f t="shared" si="0"/>
        <v>1483744</v>
      </c>
      <c r="D18" s="252">
        <f>800000+230000+34000+117730+260000+42014</f>
        <v>1483744</v>
      </c>
      <c r="E18" s="252"/>
      <c r="F18" s="252"/>
      <c r="G18" s="250"/>
      <c r="H18" s="73" t="s">
        <v>45</v>
      </c>
      <c r="I18" s="73" t="s">
        <v>46</v>
      </c>
      <c r="J18" s="70">
        <v>100495</v>
      </c>
      <c r="K18" s="246"/>
      <c r="L18" s="70">
        <v>124287</v>
      </c>
      <c r="M18" s="246"/>
      <c r="N18" s="70">
        <v>23570</v>
      </c>
      <c r="O18" s="246"/>
      <c r="P18" s="265">
        <f t="shared" si="1"/>
        <v>248352</v>
      </c>
      <c r="Q18" s="265">
        <f t="shared" si="2"/>
        <v>0</v>
      </c>
      <c r="R18" s="71">
        <v>61214</v>
      </c>
      <c r="S18" s="265"/>
      <c r="T18" s="71">
        <v>127078</v>
      </c>
      <c r="U18" s="265"/>
      <c r="V18" s="71">
        <v>116282</v>
      </c>
      <c r="W18" s="265"/>
      <c r="X18" s="265">
        <f t="shared" si="3"/>
        <v>304574</v>
      </c>
      <c r="Y18" s="265">
        <f t="shared" si="4"/>
        <v>0</v>
      </c>
      <c r="Z18" s="71">
        <v>358726.80000000005</v>
      </c>
      <c r="AA18" s="265"/>
      <c r="AB18" s="71">
        <v>125625.19999999995</v>
      </c>
      <c r="AC18" s="265"/>
      <c r="AD18" s="71">
        <v>-28.800000000046566</v>
      </c>
      <c r="AE18" s="265"/>
      <c r="AF18" s="265">
        <f t="shared" si="5"/>
        <v>484323.19999999995</v>
      </c>
      <c r="AG18" s="265">
        <f t="shared" si="6"/>
        <v>0</v>
      </c>
      <c r="AH18" s="72">
        <v>6863.3000000000466</v>
      </c>
      <c r="AI18" s="265"/>
      <c r="AJ18" s="71">
        <v>1767</v>
      </c>
      <c r="AK18" s="265"/>
      <c r="AL18" s="71">
        <v>437863</v>
      </c>
      <c r="AM18" s="265"/>
      <c r="AN18" s="265">
        <f t="shared" si="7"/>
        <v>446493.30000000005</v>
      </c>
      <c r="AO18" s="265">
        <f t="shared" si="8"/>
        <v>0</v>
      </c>
      <c r="AP18" s="303"/>
    </row>
    <row r="19" spans="1:44" s="263" customFormat="1" ht="70.5" customHeight="1" x14ac:dyDescent="0.25">
      <c r="A19" s="246">
        <v>4</v>
      </c>
      <c r="B19" s="73" t="s">
        <v>14</v>
      </c>
      <c r="C19" s="250">
        <f t="shared" si="0"/>
        <v>10252</v>
      </c>
      <c r="D19" s="252">
        <f>15000-4748</f>
        <v>10252</v>
      </c>
      <c r="E19" s="252"/>
      <c r="F19" s="252"/>
      <c r="G19" s="250"/>
      <c r="H19" s="73" t="s">
        <v>73</v>
      </c>
      <c r="I19" s="73" t="s">
        <v>46</v>
      </c>
      <c r="J19" s="246"/>
      <c r="K19" s="246"/>
      <c r="L19" s="246"/>
      <c r="M19" s="246"/>
      <c r="N19" s="246"/>
      <c r="O19" s="246"/>
      <c r="P19" s="265">
        <f t="shared" si="1"/>
        <v>0</v>
      </c>
      <c r="Q19" s="265">
        <f t="shared" si="2"/>
        <v>0</v>
      </c>
      <c r="R19" s="265"/>
      <c r="S19" s="265"/>
      <c r="T19" s="265"/>
      <c r="U19" s="265"/>
      <c r="V19" s="71">
        <v>8710</v>
      </c>
      <c r="W19" s="265"/>
      <c r="X19" s="265">
        <f t="shared" si="3"/>
        <v>8710</v>
      </c>
      <c r="Y19" s="265">
        <f t="shared" si="4"/>
        <v>0</v>
      </c>
      <c r="Z19" s="270">
        <f>70-160</f>
        <v>-90</v>
      </c>
      <c r="AA19" s="265"/>
      <c r="AB19" s="265"/>
      <c r="AC19" s="265"/>
      <c r="AD19" s="71">
        <v>270</v>
      </c>
      <c r="AE19" s="265"/>
      <c r="AF19" s="265">
        <f t="shared" si="5"/>
        <v>180</v>
      </c>
      <c r="AG19" s="265">
        <f t="shared" si="6"/>
        <v>0</v>
      </c>
      <c r="AH19" s="72">
        <v>510.60000000000036</v>
      </c>
      <c r="AI19" s="265"/>
      <c r="AJ19" s="71">
        <v>100</v>
      </c>
      <c r="AK19" s="265"/>
      <c r="AL19" s="71">
        <v>591</v>
      </c>
      <c r="AM19" s="265"/>
      <c r="AN19" s="265">
        <f t="shared" si="7"/>
        <v>1201.6000000000004</v>
      </c>
      <c r="AO19" s="265">
        <f t="shared" si="8"/>
        <v>0</v>
      </c>
      <c r="AP19" s="73" t="s">
        <v>342</v>
      </c>
    </row>
    <row r="20" spans="1:44" s="263" customFormat="1" ht="162.75" customHeight="1" x14ac:dyDescent="0.25">
      <c r="A20" s="246">
        <v>5</v>
      </c>
      <c r="B20" s="73" t="s">
        <v>48</v>
      </c>
      <c r="C20" s="250">
        <f t="shared" si="0"/>
        <v>12342</v>
      </c>
      <c r="D20" s="252">
        <f>15000-2658</f>
        <v>12342</v>
      </c>
      <c r="E20" s="252"/>
      <c r="F20" s="252"/>
      <c r="G20" s="250"/>
      <c r="H20" s="73" t="s">
        <v>47</v>
      </c>
      <c r="I20" s="73" t="s">
        <v>24</v>
      </c>
      <c r="J20" s="246"/>
      <c r="K20" s="246"/>
      <c r="L20" s="246"/>
      <c r="M20" s="246"/>
      <c r="N20" s="246"/>
      <c r="O20" s="246"/>
      <c r="P20" s="265">
        <f t="shared" si="1"/>
        <v>0</v>
      </c>
      <c r="Q20" s="265">
        <f t="shared" si="2"/>
        <v>0</v>
      </c>
      <c r="R20" s="265"/>
      <c r="S20" s="265"/>
      <c r="T20" s="71">
        <v>2000</v>
      </c>
      <c r="U20" s="265"/>
      <c r="V20" s="265"/>
      <c r="W20" s="265"/>
      <c r="X20" s="265">
        <f t="shared" si="3"/>
        <v>2000</v>
      </c>
      <c r="Y20" s="265">
        <f t="shared" si="4"/>
        <v>0</v>
      </c>
      <c r="Z20" s="265"/>
      <c r="AA20" s="265"/>
      <c r="AB20" s="265"/>
      <c r="AC20" s="265"/>
      <c r="AD20" s="71">
        <v>4524.8099999999995</v>
      </c>
      <c r="AE20" s="265"/>
      <c r="AF20" s="265">
        <f t="shared" si="5"/>
        <v>4524.8099999999995</v>
      </c>
      <c r="AG20" s="265">
        <f t="shared" si="6"/>
        <v>0</v>
      </c>
      <c r="AH20" s="72">
        <v>2216.4600000000009</v>
      </c>
      <c r="AI20" s="265"/>
      <c r="AJ20" s="71">
        <v>1600</v>
      </c>
      <c r="AK20" s="265"/>
      <c r="AL20" s="71">
        <v>2000</v>
      </c>
      <c r="AM20" s="265"/>
      <c r="AN20" s="265">
        <f t="shared" si="7"/>
        <v>5816.4600000000009</v>
      </c>
      <c r="AO20" s="265">
        <f t="shared" si="8"/>
        <v>0</v>
      </c>
      <c r="AP20" s="73" t="s">
        <v>341</v>
      </c>
    </row>
    <row r="21" spans="1:44" s="263" customFormat="1" ht="329.25" customHeight="1" x14ac:dyDescent="0.25">
      <c r="A21" s="246">
        <v>6</v>
      </c>
      <c r="B21" s="73" t="s">
        <v>303</v>
      </c>
      <c r="C21" s="250">
        <f t="shared" si="0"/>
        <v>242604</v>
      </c>
      <c r="D21" s="252">
        <f>270440-30000-5000+15000-7300+12397-5000-7933</f>
        <v>242604</v>
      </c>
      <c r="E21" s="252"/>
      <c r="F21" s="252"/>
      <c r="G21" s="250"/>
      <c r="H21" s="73" t="s">
        <v>69</v>
      </c>
      <c r="I21" s="73" t="s">
        <v>102</v>
      </c>
      <c r="J21" s="252"/>
      <c r="K21" s="246"/>
      <c r="L21" s="70">
        <v>1000</v>
      </c>
      <c r="M21" s="246"/>
      <c r="N21" s="70">
        <f>1906+100</f>
        <v>2006</v>
      </c>
      <c r="O21" s="246"/>
      <c r="P21" s="265">
        <f t="shared" si="1"/>
        <v>3006</v>
      </c>
      <c r="Q21" s="265">
        <f t="shared" si="2"/>
        <v>0</v>
      </c>
      <c r="R21" s="265">
        <f>1360</f>
        <v>1360</v>
      </c>
      <c r="S21" s="265"/>
      <c r="T21" s="265">
        <f>6252.5</f>
        <v>6252.5</v>
      </c>
      <c r="U21" s="265"/>
      <c r="V21" s="265">
        <f>7550</f>
        <v>7550</v>
      </c>
      <c r="W21" s="265"/>
      <c r="X21" s="265">
        <f t="shared" si="3"/>
        <v>15162.5</v>
      </c>
      <c r="Y21" s="265">
        <f t="shared" si="4"/>
        <v>0</v>
      </c>
      <c r="Z21" s="265">
        <f>18265.2</f>
        <v>18265.2</v>
      </c>
      <c r="AA21" s="265"/>
      <c r="AB21" s="71">
        <v>12617</v>
      </c>
      <c r="AC21" s="265"/>
      <c r="AD21" s="265">
        <v>2800</v>
      </c>
      <c r="AE21" s="265"/>
      <c r="AF21" s="265">
        <f t="shared" si="5"/>
        <v>33682.199999999997</v>
      </c>
      <c r="AG21" s="265">
        <f t="shared" si="6"/>
        <v>0</v>
      </c>
      <c r="AH21" s="265">
        <f>3376</f>
        <v>3376</v>
      </c>
      <c r="AI21" s="265"/>
      <c r="AJ21" s="265">
        <v>153289</v>
      </c>
      <c r="AK21" s="265"/>
      <c r="AL21" s="265">
        <v>20099.97</v>
      </c>
      <c r="AM21" s="265"/>
      <c r="AN21" s="265">
        <f t="shared" si="7"/>
        <v>176764.97</v>
      </c>
      <c r="AO21" s="265">
        <f t="shared" si="8"/>
        <v>0</v>
      </c>
      <c r="AP21" s="73" t="s">
        <v>424</v>
      </c>
    </row>
    <row r="22" spans="1:44" s="263" customFormat="1" ht="162.75" customHeight="1" x14ac:dyDescent="0.25">
      <c r="A22" s="246">
        <v>7</v>
      </c>
      <c r="B22" s="73" t="s">
        <v>103</v>
      </c>
      <c r="C22" s="250">
        <f t="shared" si="0"/>
        <v>178843</v>
      </c>
      <c r="D22" s="252">
        <f>214730-25000+50000+16000-8000-46397-9275-9993-3222</f>
        <v>178843</v>
      </c>
      <c r="E22" s="252"/>
      <c r="F22" s="252"/>
      <c r="G22" s="250"/>
      <c r="H22" s="73" t="s">
        <v>69</v>
      </c>
      <c r="I22" s="73" t="s">
        <v>49</v>
      </c>
      <c r="J22" s="246"/>
      <c r="K22" s="246"/>
      <c r="L22" s="246"/>
      <c r="M22" s="246"/>
      <c r="N22" s="246"/>
      <c r="O22" s="246"/>
      <c r="P22" s="265">
        <f t="shared" si="1"/>
        <v>0</v>
      </c>
      <c r="Q22" s="265">
        <f t="shared" si="2"/>
        <v>0</v>
      </c>
      <c r="R22" s="265"/>
      <c r="S22" s="265"/>
      <c r="T22" s="265">
        <f>46120</f>
        <v>46120</v>
      </c>
      <c r="U22" s="265"/>
      <c r="V22" s="265">
        <v>2700</v>
      </c>
      <c r="W22" s="265"/>
      <c r="X22" s="265">
        <f t="shared" si="3"/>
        <v>48820</v>
      </c>
      <c r="Y22" s="265">
        <f t="shared" si="4"/>
        <v>0</v>
      </c>
      <c r="Z22" s="265"/>
      <c r="AA22" s="265"/>
      <c r="AB22" s="71">
        <v>10702.6</v>
      </c>
      <c r="AC22" s="265"/>
      <c r="AD22" s="265">
        <v>9795</v>
      </c>
      <c r="AE22" s="265"/>
      <c r="AF22" s="265">
        <f t="shared" si="5"/>
        <v>20497.599999999999</v>
      </c>
      <c r="AG22" s="265">
        <f t="shared" si="6"/>
        <v>0</v>
      </c>
      <c r="AH22" s="265">
        <v>18950</v>
      </c>
      <c r="AI22" s="265"/>
      <c r="AJ22" s="265">
        <v>42040</v>
      </c>
      <c r="AK22" s="265"/>
      <c r="AL22" s="265">
        <f>41739.74-5892.75</f>
        <v>35846.99</v>
      </c>
      <c r="AM22" s="265"/>
      <c r="AN22" s="265">
        <f t="shared" si="7"/>
        <v>96836.989999999991</v>
      </c>
      <c r="AO22" s="265">
        <f t="shared" si="8"/>
        <v>0</v>
      </c>
      <c r="AP22" s="73" t="s">
        <v>425</v>
      </c>
      <c r="AR22" s="248"/>
    </row>
    <row r="23" spans="1:44" s="263" customFormat="1" ht="162.75" customHeight="1" x14ac:dyDescent="0.25">
      <c r="A23" s="246">
        <v>8</v>
      </c>
      <c r="B23" s="73" t="s">
        <v>90</v>
      </c>
      <c r="C23" s="250">
        <f t="shared" si="0"/>
        <v>54800</v>
      </c>
      <c r="D23" s="252">
        <f>30000+7300</f>
        <v>37300</v>
      </c>
      <c r="E23" s="252">
        <f>20000-2500</f>
        <v>17500</v>
      </c>
      <c r="F23" s="252"/>
      <c r="G23" s="250"/>
      <c r="H23" s="73" t="s">
        <v>104</v>
      </c>
      <c r="I23" s="73" t="s">
        <v>83</v>
      </c>
      <c r="J23" s="246"/>
      <c r="K23" s="246"/>
      <c r="L23" s="246"/>
      <c r="M23" s="246"/>
      <c r="N23" s="246"/>
      <c r="O23" s="246"/>
      <c r="P23" s="265">
        <f t="shared" si="1"/>
        <v>0</v>
      </c>
      <c r="Q23" s="265">
        <f t="shared" si="2"/>
        <v>0</v>
      </c>
      <c r="R23" s="265"/>
      <c r="S23" s="265"/>
      <c r="T23" s="265"/>
      <c r="U23" s="265"/>
      <c r="V23" s="71">
        <v>26600</v>
      </c>
      <c r="W23" s="265"/>
      <c r="X23" s="265">
        <f>R23+T23+V23</f>
        <v>26600</v>
      </c>
      <c r="Y23" s="265">
        <f t="shared" si="4"/>
        <v>0</v>
      </c>
      <c r="Z23" s="71">
        <f>8561-180</f>
        <v>8381</v>
      </c>
      <c r="AA23" s="265"/>
      <c r="AB23" s="265"/>
      <c r="AC23" s="265"/>
      <c r="AD23" s="265"/>
      <c r="AE23" s="265"/>
      <c r="AF23" s="265">
        <f t="shared" si="5"/>
        <v>8381</v>
      </c>
      <c r="AG23" s="265">
        <f t="shared" si="6"/>
        <v>0</v>
      </c>
      <c r="AH23" s="265"/>
      <c r="AI23" s="265"/>
      <c r="AJ23" s="265"/>
      <c r="AK23" s="265"/>
      <c r="AL23" s="265"/>
      <c r="AM23" s="265"/>
      <c r="AN23" s="265">
        <f t="shared" si="7"/>
        <v>0</v>
      </c>
      <c r="AO23" s="265">
        <f t="shared" si="8"/>
        <v>0</v>
      </c>
      <c r="AP23" s="73" t="s">
        <v>340</v>
      </c>
    </row>
    <row r="24" spans="1:44" s="263" customFormat="1" ht="142.5" customHeight="1" x14ac:dyDescent="0.25">
      <c r="A24" s="246">
        <v>9</v>
      </c>
      <c r="B24" s="73" t="s">
        <v>276</v>
      </c>
      <c r="C24" s="250">
        <f t="shared" si="0"/>
        <v>8000</v>
      </c>
      <c r="D24" s="252">
        <f>8000</f>
        <v>8000</v>
      </c>
      <c r="E24" s="252"/>
      <c r="F24" s="252"/>
      <c r="G24" s="250"/>
      <c r="H24" s="73" t="s">
        <v>277</v>
      </c>
      <c r="I24" s="73" t="s">
        <v>278</v>
      </c>
      <c r="J24" s="73"/>
      <c r="K24" s="246"/>
      <c r="L24" s="246"/>
      <c r="M24" s="246"/>
      <c r="N24" s="246"/>
      <c r="O24" s="246"/>
      <c r="P24" s="265">
        <f t="shared" si="1"/>
        <v>0</v>
      </c>
      <c r="Q24" s="265">
        <f t="shared" si="2"/>
        <v>0</v>
      </c>
      <c r="R24" s="265"/>
      <c r="S24" s="265"/>
      <c r="T24" s="265"/>
      <c r="U24" s="265"/>
      <c r="V24" s="265"/>
      <c r="W24" s="265"/>
      <c r="X24" s="265">
        <f t="shared" si="3"/>
        <v>0</v>
      </c>
      <c r="Y24" s="265">
        <f t="shared" si="4"/>
        <v>0</v>
      </c>
      <c r="Z24" s="265"/>
      <c r="AA24" s="265"/>
      <c r="AB24" s="265"/>
      <c r="AC24" s="265"/>
      <c r="AD24" s="265"/>
      <c r="AE24" s="265"/>
      <c r="AF24" s="265">
        <f t="shared" si="5"/>
        <v>0</v>
      </c>
      <c r="AG24" s="265">
        <f t="shared" si="6"/>
        <v>0</v>
      </c>
      <c r="AH24" s="265"/>
      <c r="AI24" s="265"/>
      <c r="AJ24" s="265"/>
      <c r="AK24" s="265"/>
      <c r="AL24" s="265">
        <v>5892.75</v>
      </c>
      <c r="AM24" s="265"/>
      <c r="AN24" s="265">
        <f t="shared" si="7"/>
        <v>5892.75</v>
      </c>
      <c r="AO24" s="265">
        <f t="shared" si="8"/>
        <v>0</v>
      </c>
      <c r="AP24" s="246" t="s">
        <v>85</v>
      </c>
    </row>
    <row r="25" spans="1:44" s="263" customFormat="1" ht="142.5" customHeight="1" x14ac:dyDescent="0.25">
      <c r="A25" s="246">
        <v>10</v>
      </c>
      <c r="B25" s="247" t="s">
        <v>375</v>
      </c>
      <c r="C25" s="250">
        <f t="shared" si="0"/>
        <v>8250</v>
      </c>
      <c r="D25" s="252"/>
      <c r="E25" s="246">
        <v>8250</v>
      </c>
      <c r="F25" s="246"/>
      <c r="G25" s="73"/>
      <c r="H25" s="247" t="s">
        <v>376</v>
      </c>
      <c r="I25" s="247" t="s">
        <v>374</v>
      </c>
      <c r="J25" s="73"/>
      <c r="K25" s="246"/>
      <c r="L25" s="246"/>
      <c r="M25" s="246"/>
      <c r="N25" s="246"/>
      <c r="O25" s="246"/>
      <c r="P25" s="265">
        <f t="shared" ref="P25" si="9">J25+L25+N25</f>
        <v>0</v>
      </c>
      <c r="Q25" s="265">
        <f t="shared" ref="Q25" si="10">K25+M25+O25</f>
        <v>0</v>
      </c>
      <c r="R25" s="265"/>
      <c r="S25" s="265"/>
      <c r="T25" s="265"/>
      <c r="U25" s="265"/>
      <c r="V25" s="265"/>
      <c r="W25" s="265"/>
      <c r="X25" s="265">
        <f t="shared" ref="X25" si="11">R25+T25+V25</f>
        <v>0</v>
      </c>
      <c r="Y25" s="265">
        <f t="shared" ref="Y25" si="12">S25+U25+W25</f>
        <v>0</v>
      </c>
      <c r="Z25" s="265"/>
      <c r="AA25" s="265"/>
      <c r="AB25" s="265"/>
      <c r="AC25" s="265"/>
      <c r="AD25" s="265"/>
      <c r="AE25" s="265"/>
      <c r="AF25" s="265">
        <f t="shared" si="5"/>
        <v>0</v>
      </c>
      <c r="AG25" s="265">
        <f t="shared" si="6"/>
        <v>0</v>
      </c>
      <c r="AH25" s="265"/>
      <c r="AI25" s="265"/>
      <c r="AJ25" s="265"/>
      <c r="AK25" s="265"/>
      <c r="AL25" s="265"/>
      <c r="AM25" s="265"/>
      <c r="AN25" s="265">
        <f t="shared" si="7"/>
        <v>0</v>
      </c>
      <c r="AO25" s="265">
        <f t="shared" si="8"/>
        <v>0</v>
      </c>
      <c r="AP25" s="246"/>
    </row>
    <row r="26" spans="1:44" s="90" customFormat="1" ht="24" customHeight="1" x14ac:dyDescent="0.25">
      <c r="B26" s="91" t="s">
        <v>13</v>
      </c>
      <c r="C26" s="92">
        <f>D26+E26+F26+G26</f>
        <v>4220640</v>
      </c>
      <c r="D26" s="92">
        <f>SUM(D16:D25)</f>
        <v>4194890</v>
      </c>
      <c r="E26" s="92">
        <f>SUM(E16:E25)</f>
        <v>25750</v>
      </c>
      <c r="F26" s="92">
        <f t="shared" ref="F26:G26" si="13">SUM(F16:F25)</f>
        <v>0</v>
      </c>
      <c r="G26" s="92">
        <f t="shared" si="13"/>
        <v>0</v>
      </c>
      <c r="H26" s="91"/>
      <c r="I26" s="91"/>
      <c r="J26" s="271">
        <f>SUM(J16:J24)</f>
        <v>286230.46999999997</v>
      </c>
      <c r="K26" s="271">
        <f t="shared" ref="K26:O26" si="14">SUM(K16:K24)</f>
        <v>0</v>
      </c>
      <c r="L26" s="271">
        <f t="shared" si="14"/>
        <v>311022.46999999997</v>
      </c>
      <c r="M26" s="271">
        <f t="shared" si="14"/>
        <v>0</v>
      </c>
      <c r="N26" s="271">
        <f t="shared" si="14"/>
        <v>212085.81000000003</v>
      </c>
      <c r="O26" s="271">
        <f t="shared" si="14"/>
        <v>0</v>
      </c>
      <c r="P26" s="271">
        <f>SUM(P16:P24)</f>
        <v>809338.75</v>
      </c>
      <c r="Q26" s="271">
        <f>SUM(Q16:Q24)</f>
        <v>0</v>
      </c>
      <c r="R26" s="271">
        <f t="shared" ref="R26:W26" si="15">SUM(R16:R24)</f>
        <v>249036.14000000004</v>
      </c>
      <c r="S26" s="271">
        <f t="shared" si="15"/>
        <v>0</v>
      </c>
      <c r="T26" s="271">
        <f t="shared" si="15"/>
        <v>367802.44000000006</v>
      </c>
      <c r="U26" s="271">
        <f t="shared" si="15"/>
        <v>0</v>
      </c>
      <c r="V26" s="271">
        <f t="shared" si="15"/>
        <v>348267</v>
      </c>
      <c r="W26" s="271">
        <f t="shared" si="15"/>
        <v>0</v>
      </c>
      <c r="X26" s="271">
        <f>SUM(X16:X24)</f>
        <v>965105.58000000007</v>
      </c>
      <c r="Y26" s="271">
        <f>SUM(Y16:Y24)</f>
        <v>0</v>
      </c>
      <c r="Z26" s="271">
        <f>SUM(Z16:Z25)</f>
        <v>746851.25</v>
      </c>
      <c r="AA26" s="271">
        <f t="shared" ref="AA26:AG26" si="16">SUM(AA16:AA25)</f>
        <v>0</v>
      </c>
      <c r="AB26" s="271">
        <f t="shared" si="16"/>
        <v>168642.07999999993</v>
      </c>
      <c r="AC26" s="271">
        <f t="shared" si="16"/>
        <v>0</v>
      </c>
      <c r="AD26" s="271">
        <f t="shared" si="16"/>
        <v>194525.9499999999</v>
      </c>
      <c r="AE26" s="271">
        <f t="shared" si="16"/>
        <v>0</v>
      </c>
      <c r="AF26" s="271">
        <f t="shared" si="16"/>
        <v>1110019.28</v>
      </c>
      <c r="AG26" s="271">
        <f t="shared" si="16"/>
        <v>0</v>
      </c>
      <c r="AH26" s="271">
        <f>SUM(AH16:AH25)</f>
        <v>213539.53000000009</v>
      </c>
      <c r="AI26" s="271">
        <f t="shared" ref="AI26:AO26" si="17">SUM(AI16:AI25)</f>
        <v>0</v>
      </c>
      <c r="AJ26" s="271">
        <f t="shared" si="17"/>
        <v>381061</v>
      </c>
      <c r="AK26" s="271">
        <f t="shared" si="17"/>
        <v>0</v>
      </c>
      <c r="AL26" s="271">
        <f t="shared" si="17"/>
        <v>684558.70999999985</v>
      </c>
      <c r="AM26" s="271">
        <f t="shared" si="17"/>
        <v>0</v>
      </c>
      <c r="AN26" s="271">
        <f t="shared" si="17"/>
        <v>1279159.24</v>
      </c>
      <c r="AO26" s="271">
        <f t="shared" si="17"/>
        <v>0</v>
      </c>
      <c r="AP26" s="256"/>
    </row>
    <row r="27" spans="1:44" s="268" customFormat="1" ht="96" customHeight="1" x14ac:dyDescent="0.25">
      <c r="A27" s="266"/>
      <c r="B27" s="266"/>
      <c r="C27" s="266"/>
      <c r="D27" s="266"/>
      <c r="E27" s="266"/>
      <c r="F27" s="266"/>
      <c r="G27" s="267"/>
      <c r="H27" s="266"/>
      <c r="I27" s="266"/>
      <c r="P27" s="269"/>
      <c r="Q27" s="269"/>
      <c r="R27" s="256"/>
      <c r="S27" s="256"/>
      <c r="T27" s="256"/>
      <c r="U27" s="256"/>
      <c r="V27" s="256"/>
      <c r="W27" s="256"/>
      <c r="X27" s="256"/>
      <c r="Y27" s="256"/>
      <c r="Z27" s="256"/>
      <c r="AA27" s="256"/>
      <c r="AB27" s="256"/>
      <c r="AC27" s="256"/>
      <c r="AD27" s="256"/>
      <c r="AE27" s="256"/>
      <c r="AF27" s="256"/>
      <c r="AG27" s="256"/>
      <c r="AH27" s="263"/>
      <c r="AI27" s="263"/>
      <c r="AJ27" s="263"/>
      <c r="AK27" s="263"/>
      <c r="AL27" s="263"/>
      <c r="AM27" s="263"/>
      <c r="AN27" s="256"/>
      <c r="AO27" s="256"/>
      <c r="AP27" s="263"/>
    </row>
    <row r="28" spans="1:44" s="268" customFormat="1" x14ac:dyDescent="0.25">
      <c r="A28" s="266"/>
      <c r="B28" s="266"/>
      <c r="C28" s="266"/>
      <c r="D28" s="267"/>
      <c r="E28" s="266"/>
      <c r="F28" s="266"/>
      <c r="G28" s="266"/>
      <c r="H28" s="266"/>
      <c r="I28" s="266"/>
      <c r="P28" s="269"/>
      <c r="Q28" s="269"/>
      <c r="R28" s="256"/>
      <c r="S28" s="256"/>
      <c r="T28" s="256"/>
      <c r="U28" s="256"/>
      <c r="V28" s="256"/>
      <c r="W28" s="256"/>
      <c r="X28" s="256"/>
      <c r="Y28" s="256"/>
      <c r="Z28" s="256"/>
      <c r="AA28" s="256"/>
      <c r="AB28" s="256"/>
      <c r="AC28" s="256"/>
      <c r="AD28" s="256"/>
      <c r="AE28" s="256"/>
      <c r="AF28" s="256"/>
      <c r="AG28" s="256"/>
      <c r="AH28" s="263"/>
      <c r="AI28" s="263"/>
      <c r="AJ28" s="263"/>
      <c r="AK28" s="263"/>
      <c r="AL28" s="263"/>
      <c r="AM28" s="263"/>
      <c r="AN28" s="256"/>
      <c r="AO28" s="256"/>
      <c r="AP28" s="263"/>
    </row>
  </sheetData>
  <mergeCells count="40">
    <mergeCell ref="AB14:AC14"/>
    <mergeCell ref="AD14:AE14"/>
    <mergeCell ref="AF14:AG14"/>
    <mergeCell ref="AP16:AP18"/>
    <mergeCell ref="AP13:AP15"/>
    <mergeCell ref="Z13:AG13"/>
    <mergeCell ref="Z14:AA14"/>
    <mergeCell ref="AH13:AO13"/>
    <mergeCell ref="AH14:AI14"/>
    <mergeCell ref="AJ14:AK14"/>
    <mergeCell ref="AL14:AM14"/>
    <mergeCell ref="AN14:AO14"/>
    <mergeCell ref="F14:F15"/>
    <mergeCell ref="G14:G15"/>
    <mergeCell ref="J14:K14"/>
    <mergeCell ref="L14:M14"/>
    <mergeCell ref="N14:O14"/>
    <mergeCell ref="J13:Q13"/>
    <mergeCell ref="P14:Q14"/>
    <mergeCell ref="R13:Y13"/>
    <mergeCell ref="R14:S14"/>
    <mergeCell ref="T14:U14"/>
    <mergeCell ref="V14:W14"/>
    <mergeCell ref="X14:Y14"/>
    <mergeCell ref="A7:G7"/>
    <mergeCell ref="B8:G8"/>
    <mergeCell ref="I13:I15"/>
    <mergeCell ref="A1:I1"/>
    <mergeCell ref="B2:I2"/>
    <mergeCell ref="B3:I3"/>
    <mergeCell ref="B5:I5"/>
    <mergeCell ref="A6:I6"/>
    <mergeCell ref="A13:A15"/>
    <mergeCell ref="C13:C15"/>
    <mergeCell ref="B13:B15"/>
    <mergeCell ref="A10:I10"/>
    <mergeCell ref="D13:G13"/>
    <mergeCell ref="H13:H15"/>
    <mergeCell ref="D14:D15"/>
    <mergeCell ref="E14:E15"/>
  </mergeCells>
  <pageMargins left="0.11811023622047245" right="0.11811023622047245" top="0.74803149606299213" bottom="0.15748031496062992" header="0.19685039370078741" footer="0.11811023622047245"/>
  <pageSetup scale="65" orientation="landscape" r:id="rId1"/>
  <rowBreaks count="1" manualBreakCount="1">
    <brk id="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AP35"/>
  <sheetViews>
    <sheetView topLeftCell="D25" zoomScale="70" zoomScaleNormal="70" workbookViewId="0">
      <selection activeCell="AN66" sqref="AN66:AN67"/>
    </sheetView>
  </sheetViews>
  <sheetFormatPr defaultColWidth="8.875" defaultRowHeight="15" x14ac:dyDescent="0.3"/>
  <cols>
    <col min="1" max="1" width="4.875" style="259" customWidth="1"/>
    <col min="2" max="2" width="69.125" style="240" customWidth="1"/>
    <col min="3" max="3" width="14.75" style="240" customWidth="1"/>
    <col min="4" max="4" width="13.75" style="259" customWidth="1"/>
    <col min="5" max="5" width="16.875" style="259" customWidth="1"/>
    <col min="6" max="6" width="13.375" style="259" customWidth="1"/>
    <col min="7" max="7" width="14" style="259" customWidth="1"/>
    <col min="8" max="8" width="53.25" style="240" customWidth="1"/>
    <col min="9" max="9" width="24.625" style="240" customWidth="1"/>
    <col min="10" max="10" width="14" style="240" customWidth="1"/>
    <col min="11" max="11" width="12" style="240" customWidth="1"/>
    <col min="12" max="12" width="14.125" style="259" customWidth="1"/>
    <col min="13" max="13" width="12" style="240" customWidth="1"/>
    <col min="14" max="14" width="13.125" style="240" customWidth="1"/>
    <col min="15" max="15" width="12" style="240" customWidth="1"/>
    <col min="16" max="16" width="15.125" style="272" customWidth="1"/>
    <col min="17" max="25" width="13.875" style="272" customWidth="1"/>
    <col min="26" max="26" width="13.875" style="275" customWidth="1"/>
    <col min="27" max="33" width="13.875" style="272" customWidth="1"/>
    <col min="34" max="34" width="13.875" style="273" customWidth="1"/>
    <col min="35" max="35" width="13.875" style="240" customWidth="1"/>
    <col min="36" max="36" width="13.875" style="273" customWidth="1"/>
    <col min="37" max="37" width="13.875" style="240" customWidth="1"/>
    <col min="38" max="38" width="13.875" style="273" customWidth="1"/>
    <col min="39" max="39" width="13.875" style="240" customWidth="1"/>
    <col min="40" max="41" width="13.875" style="272" customWidth="1"/>
    <col min="42" max="42" width="48.375" style="240" customWidth="1"/>
    <col min="43" max="16384" width="8.875" style="240"/>
  </cols>
  <sheetData>
    <row r="1" spans="1:42" ht="36" customHeight="1" x14ac:dyDescent="0.3">
      <c r="A1" s="318" t="s">
        <v>61</v>
      </c>
      <c r="B1" s="318"/>
      <c r="C1" s="318"/>
      <c r="D1" s="318"/>
      <c r="E1" s="318"/>
      <c r="F1" s="318"/>
      <c r="G1" s="318"/>
      <c r="H1" s="318"/>
      <c r="I1" s="318"/>
    </row>
    <row r="2" spans="1:42" ht="51.75" customHeight="1" x14ac:dyDescent="0.3">
      <c r="A2" s="144"/>
      <c r="B2" s="297" t="s">
        <v>0</v>
      </c>
      <c r="C2" s="297"/>
      <c r="D2" s="297"/>
      <c r="E2" s="297"/>
      <c r="F2" s="297"/>
      <c r="G2" s="297"/>
      <c r="H2" s="297"/>
      <c r="I2" s="297"/>
    </row>
    <row r="3" spans="1:42" ht="55.5" customHeight="1" x14ac:dyDescent="0.3">
      <c r="A3" s="144"/>
      <c r="B3" s="319" t="s">
        <v>28</v>
      </c>
      <c r="C3" s="319"/>
      <c r="D3" s="319"/>
      <c r="E3" s="319"/>
      <c r="F3" s="319"/>
      <c r="G3" s="319"/>
      <c r="H3" s="319"/>
      <c r="I3" s="319"/>
    </row>
    <row r="4" spans="1:42" ht="9" customHeight="1" x14ac:dyDescent="0.3">
      <c r="A4" s="144"/>
      <c r="B4" s="162"/>
      <c r="C4" s="162"/>
      <c r="D4" s="144"/>
      <c r="E4" s="144"/>
      <c r="F4" s="144"/>
      <c r="G4" s="144"/>
      <c r="H4" s="162"/>
      <c r="I4" s="162"/>
    </row>
    <row r="5" spans="1:42" ht="100.5" customHeight="1" x14ac:dyDescent="0.3">
      <c r="A5" s="167"/>
      <c r="B5" s="297" t="s">
        <v>471</v>
      </c>
      <c r="C5" s="297"/>
      <c r="D5" s="297"/>
      <c r="E5" s="297"/>
      <c r="F5" s="297"/>
      <c r="G5" s="297"/>
      <c r="H5" s="297"/>
      <c r="I5" s="297"/>
    </row>
    <row r="6" spans="1:42" ht="141" customHeight="1" x14ac:dyDescent="0.3">
      <c r="A6" s="297" t="s">
        <v>472</v>
      </c>
      <c r="B6" s="297"/>
      <c r="C6" s="297"/>
      <c r="D6" s="297"/>
      <c r="E6" s="297"/>
      <c r="F6" s="297"/>
      <c r="G6" s="297"/>
      <c r="H6" s="297"/>
      <c r="I6" s="297"/>
    </row>
    <row r="7" spans="1:42" ht="48" customHeight="1" x14ac:dyDescent="0.3">
      <c r="A7" s="299" t="s">
        <v>35</v>
      </c>
      <c r="B7" s="299"/>
      <c r="C7" s="299"/>
      <c r="D7" s="299"/>
      <c r="E7" s="299"/>
      <c r="F7" s="299"/>
      <c r="G7" s="299"/>
      <c r="H7" s="264" t="s">
        <v>50</v>
      </c>
      <c r="I7" s="153"/>
    </row>
    <row r="8" spans="1:42" ht="39" customHeight="1" x14ac:dyDescent="0.3">
      <c r="A8" s="245"/>
      <c r="B8" s="299" t="s">
        <v>36</v>
      </c>
      <c r="C8" s="299"/>
      <c r="D8" s="299"/>
      <c r="E8" s="299"/>
      <c r="F8" s="299"/>
      <c r="G8" s="299"/>
      <c r="H8" s="245" t="s">
        <v>67</v>
      </c>
      <c r="I8" s="153"/>
    </row>
    <row r="9" spans="1:42" ht="17.45" customHeight="1" x14ac:dyDescent="0.3">
      <c r="A9" s="153"/>
      <c r="B9" s="153"/>
      <c r="C9" s="153"/>
      <c r="D9" s="153"/>
      <c r="E9" s="153"/>
      <c r="F9" s="153"/>
      <c r="G9" s="153"/>
      <c r="H9" s="153"/>
      <c r="I9" s="153"/>
    </row>
    <row r="10" spans="1:42" ht="28.5" customHeight="1" x14ac:dyDescent="0.3">
      <c r="A10" s="325" t="s">
        <v>6</v>
      </c>
      <c r="B10" s="325"/>
      <c r="C10" s="325"/>
      <c r="D10" s="325"/>
      <c r="E10" s="325"/>
      <c r="F10" s="325"/>
      <c r="G10" s="325"/>
      <c r="H10" s="325"/>
      <c r="I10" s="325"/>
    </row>
    <row r="11" spans="1:42" ht="17.25" x14ac:dyDescent="0.3">
      <c r="A11" s="274"/>
      <c r="B11" s="274"/>
      <c r="C11" s="274"/>
      <c r="D11" s="274"/>
      <c r="E11" s="274"/>
      <c r="F11" s="274"/>
      <c r="G11" s="274"/>
      <c r="H11" s="274"/>
      <c r="I11" s="274"/>
    </row>
    <row r="13" spans="1:42" s="88" customFormat="1" ht="40.5" customHeight="1" x14ac:dyDescent="0.25">
      <c r="A13" s="321" t="s">
        <v>1</v>
      </c>
      <c r="B13" s="324" t="s">
        <v>42</v>
      </c>
      <c r="C13" s="324" t="s">
        <v>2</v>
      </c>
      <c r="D13" s="324" t="s">
        <v>43</v>
      </c>
      <c r="E13" s="324"/>
      <c r="F13" s="324"/>
      <c r="G13" s="324"/>
      <c r="H13" s="321" t="s">
        <v>16</v>
      </c>
      <c r="I13" s="324" t="s">
        <v>3</v>
      </c>
      <c r="J13" s="320" t="s">
        <v>301</v>
      </c>
      <c r="K13" s="320"/>
      <c r="L13" s="320"/>
      <c r="M13" s="320"/>
      <c r="N13" s="320"/>
      <c r="O13" s="320"/>
      <c r="P13" s="320"/>
      <c r="Q13" s="320"/>
      <c r="R13" s="326" t="s">
        <v>300</v>
      </c>
      <c r="S13" s="327"/>
      <c r="T13" s="327"/>
      <c r="U13" s="327"/>
      <c r="V13" s="327"/>
      <c r="W13" s="327"/>
      <c r="X13" s="327"/>
      <c r="Y13" s="328"/>
      <c r="Z13" s="326" t="s">
        <v>366</v>
      </c>
      <c r="AA13" s="327"/>
      <c r="AB13" s="327"/>
      <c r="AC13" s="327"/>
      <c r="AD13" s="327"/>
      <c r="AE13" s="327"/>
      <c r="AF13" s="327"/>
      <c r="AG13" s="328"/>
      <c r="AH13" s="326" t="s">
        <v>414</v>
      </c>
      <c r="AI13" s="327"/>
      <c r="AJ13" s="327"/>
      <c r="AK13" s="327"/>
      <c r="AL13" s="327"/>
      <c r="AM13" s="327"/>
      <c r="AN13" s="327"/>
      <c r="AO13" s="328"/>
      <c r="AP13" s="324" t="s">
        <v>288</v>
      </c>
    </row>
    <row r="14" spans="1:42" s="88" customFormat="1" ht="40.5" customHeight="1" x14ac:dyDescent="0.25">
      <c r="A14" s="322"/>
      <c r="B14" s="324"/>
      <c r="C14" s="324"/>
      <c r="D14" s="321" t="s">
        <v>7</v>
      </c>
      <c r="E14" s="321" t="s">
        <v>12</v>
      </c>
      <c r="F14" s="321" t="s">
        <v>40</v>
      </c>
      <c r="G14" s="321" t="s">
        <v>41</v>
      </c>
      <c r="H14" s="322"/>
      <c r="I14" s="324"/>
      <c r="J14" s="320" t="s">
        <v>285</v>
      </c>
      <c r="K14" s="320"/>
      <c r="L14" s="320" t="s">
        <v>286</v>
      </c>
      <c r="M14" s="320"/>
      <c r="N14" s="320" t="s">
        <v>287</v>
      </c>
      <c r="O14" s="320"/>
      <c r="P14" s="320" t="s">
        <v>13</v>
      </c>
      <c r="Q14" s="320"/>
      <c r="R14" s="326" t="s">
        <v>297</v>
      </c>
      <c r="S14" s="328"/>
      <c r="T14" s="326" t="s">
        <v>298</v>
      </c>
      <c r="U14" s="328"/>
      <c r="V14" s="326" t="s">
        <v>299</v>
      </c>
      <c r="W14" s="328"/>
      <c r="X14" s="326" t="s">
        <v>13</v>
      </c>
      <c r="Y14" s="328"/>
      <c r="Z14" s="320" t="s">
        <v>363</v>
      </c>
      <c r="AA14" s="320"/>
      <c r="AB14" s="320" t="s">
        <v>364</v>
      </c>
      <c r="AC14" s="320"/>
      <c r="AD14" s="320" t="s">
        <v>365</v>
      </c>
      <c r="AE14" s="320"/>
      <c r="AF14" s="320" t="s">
        <v>13</v>
      </c>
      <c r="AG14" s="320"/>
      <c r="AH14" s="326" t="s">
        <v>415</v>
      </c>
      <c r="AI14" s="328"/>
      <c r="AJ14" s="326" t="s">
        <v>416</v>
      </c>
      <c r="AK14" s="328"/>
      <c r="AL14" s="326" t="s">
        <v>417</v>
      </c>
      <c r="AM14" s="328"/>
      <c r="AN14" s="326" t="s">
        <v>13</v>
      </c>
      <c r="AO14" s="328"/>
      <c r="AP14" s="324"/>
    </row>
    <row r="15" spans="1:42" s="88" customFormat="1" ht="54" customHeight="1" x14ac:dyDescent="0.25">
      <c r="A15" s="323"/>
      <c r="B15" s="324"/>
      <c r="C15" s="324"/>
      <c r="D15" s="323"/>
      <c r="E15" s="323"/>
      <c r="F15" s="323"/>
      <c r="G15" s="323"/>
      <c r="H15" s="323"/>
      <c r="I15" s="324"/>
      <c r="J15" s="94" t="s">
        <v>7</v>
      </c>
      <c r="K15" s="94" t="s">
        <v>12</v>
      </c>
      <c r="L15" s="94" t="s">
        <v>7</v>
      </c>
      <c r="M15" s="94" t="s">
        <v>12</v>
      </c>
      <c r="N15" s="94" t="s">
        <v>7</v>
      </c>
      <c r="O15" s="94" t="s">
        <v>12</v>
      </c>
      <c r="P15" s="94" t="s">
        <v>7</v>
      </c>
      <c r="Q15" s="94" t="s">
        <v>12</v>
      </c>
      <c r="R15" s="94" t="s">
        <v>7</v>
      </c>
      <c r="S15" s="94" t="s">
        <v>12</v>
      </c>
      <c r="T15" s="94" t="s">
        <v>7</v>
      </c>
      <c r="U15" s="94" t="s">
        <v>12</v>
      </c>
      <c r="V15" s="94" t="s">
        <v>7</v>
      </c>
      <c r="W15" s="94" t="s">
        <v>12</v>
      </c>
      <c r="X15" s="94" t="s">
        <v>7</v>
      </c>
      <c r="Y15" s="94" t="s">
        <v>12</v>
      </c>
      <c r="Z15" s="247" t="s">
        <v>7</v>
      </c>
      <c r="AA15" s="94" t="s">
        <v>12</v>
      </c>
      <c r="AB15" s="94" t="s">
        <v>7</v>
      </c>
      <c r="AC15" s="94" t="s">
        <v>12</v>
      </c>
      <c r="AD15" s="94" t="s">
        <v>7</v>
      </c>
      <c r="AE15" s="94" t="s">
        <v>12</v>
      </c>
      <c r="AF15" s="94" t="s">
        <v>7</v>
      </c>
      <c r="AG15" s="94" t="s">
        <v>12</v>
      </c>
      <c r="AH15" s="94" t="s">
        <v>7</v>
      </c>
      <c r="AI15" s="94" t="s">
        <v>12</v>
      </c>
      <c r="AJ15" s="94" t="s">
        <v>7</v>
      </c>
      <c r="AK15" s="94" t="s">
        <v>12</v>
      </c>
      <c r="AL15" s="94" t="s">
        <v>7</v>
      </c>
      <c r="AM15" s="94" t="s">
        <v>12</v>
      </c>
      <c r="AN15" s="94" t="s">
        <v>7</v>
      </c>
      <c r="AO15" s="94" t="s">
        <v>12</v>
      </c>
      <c r="AP15" s="324"/>
    </row>
    <row r="16" spans="1:42" s="100" customFormat="1" ht="69" customHeight="1" x14ac:dyDescent="0.35">
      <c r="A16" s="96">
        <v>1</v>
      </c>
      <c r="B16" s="86" t="s">
        <v>22</v>
      </c>
      <c r="C16" s="97">
        <f>D16+E16+F16+G16</f>
        <v>299009</v>
      </c>
      <c r="D16" s="97">
        <f>273000+26009</f>
        <v>299009</v>
      </c>
      <c r="E16" s="97"/>
      <c r="F16" s="97"/>
      <c r="G16" s="97"/>
      <c r="H16" s="86" t="s">
        <v>45</v>
      </c>
      <c r="I16" s="86" t="s">
        <v>46</v>
      </c>
      <c r="J16" s="83">
        <v>23690</v>
      </c>
      <c r="K16" s="98"/>
      <c r="L16" s="83">
        <v>24996.759999999995</v>
      </c>
      <c r="M16" s="98"/>
      <c r="N16" s="83">
        <v>24362.86</v>
      </c>
      <c r="O16" s="98"/>
      <c r="P16" s="99">
        <f>J16+L16+N16</f>
        <v>73049.62</v>
      </c>
      <c r="Q16" s="99">
        <f>K16+M16+O16</f>
        <v>0</v>
      </c>
      <c r="R16" s="84">
        <v>24920</v>
      </c>
      <c r="S16" s="99"/>
      <c r="T16" s="84">
        <v>24101</v>
      </c>
      <c r="U16" s="99"/>
      <c r="V16" s="84">
        <v>25352.859999999986</v>
      </c>
      <c r="W16" s="99"/>
      <c r="X16" s="99">
        <f>R16+T16+V16</f>
        <v>74373.859999999986</v>
      </c>
      <c r="Y16" s="99">
        <f>S16+U16+W16</f>
        <v>0</v>
      </c>
      <c r="Z16" s="71">
        <v>28976.320000000007</v>
      </c>
      <c r="AA16" s="99"/>
      <c r="AB16" s="84">
        <v>22187.919999999969</v>
      </c>
      <c r="AC16" s="99"/>
      <c r="AD16" s="84">
        <v>22939.980000000054</v>
      </c>
      <c r="AE16" s="99"/>
      <c r="AF16" s="99">
        <f>Z16+AB16+AD16</f>
        <v>74104.22000000003</v>
      </c>
      <c r="AG16" s="99">
        <f>AA16+AC16+AE16</f>
        <v>0</v>
      </c>
      <c r="AH16" s="85">
        <v>24920</v>
      </c>
      <c r="AI16" s="99"/>
      <c r="AJ16" s="84">
        <v>24864.27999999997</v>
      </c>
      <c r="AK16" s="99"/>
      <c r="AL16" s="84">
        <v>24920</v>
      </c>
      <c r="AM16" s="99"/>
      <c r="AN16" s="99">
        <f>AH16+AJ16+AL16</f>
        <v>74704.27999999997</v>
      </c>
      <c r="AO16" s="99">
        <f>AI16+AK16+AM16</f>
        <v>0</v>
      </c>
      <c r="AP16" s="321" t="s">
        <v>289</v>
      </c>
    </row>
    <row r="17" spans="1:42" s="100" customFormat="1" ht="82.5" customHeight="1" x14ac:dyDescent="0.35">
      <c r="A17" s="96">
        <v>2</v>
      </c>
      <c r="B17" s="86" t="s">
        <v>23</v>
      </c>
      <c r="C17" s="97">
        <f t="shared" ref="C17:C33" si="0">D17+E17+F17+G17</f>
        <v>2196350</v>
      </c>
      <c r="D17" s="101">
        <f>2121000+175350-100000</f>
        <v>2196350</v>
      </c>
      <c r="E17" s="101"/>
      <c r="F17" s="101"/>
      <c r="G17" s="97"/>
      <c r="H17" s="86" t="s">
        <v>45</v>
      </c>
      <c r="I17" s="86" t="s">
        <v>46</v>
      </c>
      <c r="J17" s="83">
        <v>168599.04000000001</v>
      </c>
      <c r="K17" s="98"/>
      <c r="L17" s="83">
        <v>168599.04000000001</v>
      </c>
      <c r="M17" s="98"/>
      <c r="N17" s="83">
        <v>167237.14000000004</v>
      </c>
      <c r="O17" s="98"/>
      <c r="P17" s="99">
        <f t="shared" ref="P17:P24" si="1">J17+L17+N17</f>
        <v>504435.22000000009</v>
      </c>
      <c r="Q17" s="99">
        <f t="shared" ref="Q17:Q24" si="2">K17+M17+O17</f>
        <v>0</v>
      </c>
      <c r="R17" s="84">
        <v>167169.03999999989</v>
      </c>
      <c r="S17" s="99"/>
      <c r="T17" s="84">
        <v>169559.02000000005</v>
      </c>
      <c r="U17" s="99"/>
      <c r="V17" s="84">
        <v>167939.99999999997</v>
      </c>
      <c r="W17" s="99"/>
      <c r="X17" s="99">
        <f t="shared" ref="X17:X24" si="3">R17+T17+V17</f>
        <v>504668.05999999994</v>
      </c>
      <c r="Y17" s="99">
        <f t="shared" ref="Y17:Y24" si="4">S17+U17+W17</f>
        <v>0</v>
      </c>
      <c r="Z17" s="71">
        <v>343530</v>
      </c>
      <c r="AA17" s="99"/>
      <c r="AB17" s="99"/>
      <c r="AC17" s="99"/>
      <c r="AD17" s="84">
        <v>162489.92999999993</v>
      </c>
      <c r="AE17" s="99"/>
      <c r="AF17" s="99">
        <f t="shared" ref="AF17:AF33" si="5">Z17+AB17+AD17</f>
        <v>506019.92999999993</v>
      </c>
      <c r="AG17" s="99">
        <f t="shared" ref="AG17:AG33" si="6">AA17+AC17+AE17</f>
        <v>0</v>
      </c>
      <c r="AH17" s="85">
        <v>173273.80999999994</v>
      </c>
      <c r="AI17" s="99"/>
      <c r="AJ17" s="84">
        <v>173720.00000000012</v>
      </c>
      <c r="AK17" s="99"/>
      <c r="AL17" s="84">
        <v>173720</v>
      </c>
      <c r="AM17" s="99"/>
      <c r="AN17" s="99">
        <f t="shared" ref="AN17:AN33" si="7">AH17+AJ17+AL17</f>
        <v>520713.81000000006</v>
      </c>
      <c r="AO17" s="99">
        <f t="shared" ref="AO17:AO33" si="8">AI17+AK17+AM17</f>
        <v>0</v>
      </c>
      <c r="AP17" s="322"/>
    </row>
    <row r="18" spans="1:42" s="100" customFormat="1" ht="75" customHeight="1" x14ac:dyDescent="0.35">
      <c r="A18" s="96">
        <v>3</v>
      </c>
      <c r="B18" s="102" t="s">
        <v>68</v>
      </c>
      <c r="C18" s="97">
        <f t="shared" si="0"/>
        <v>12720</v>
      </c>
      <c r="D18" s="101">
        <v>12720</v>
      </c>
      <c r="E18" s="101"/>
      <c r="F18" s="101"/>
      <c r="G18" s="97"/>
      <c r="H18" s="86" t="s">
        <v>45</v>
      </c>
      <c r="I18" s="86" t="s">
        <v>46</v>
      </c>
      <c r="J18" s="98"/>
      <c r="K18" s="98"/>
      <c r="L18" s="96"/>
      <c r="M18" s="98"/>
      <c r="N18" s="83">
        <v>2790</v>
      </c>
      <c r="O18" s="98"/>
      <c r="P18" s="99">
        <f t="shared" si="1"/>
        <v>2790</v>
      </c>
      <c r="Q18" s="99">
        <f t="shared" si="2"/>
        <v>0</v>
      </c>
      <c r="R18" s="84">
        <v>2790</v>
      </c>
      <c r="S18" s="99"/>
      <c r="T18" s="84">
        <v>2790</v>
      </c>
      <c r="U18" s="99"/>
      <c r="V18" s="84">
        <v>2790</v>
      </c>
      <c r="W18" s="99"/>
      <c r="X18" s="99">
        <f t="shared" si="3"/>
        <v>8370</v>
      </c>
      <c r="Y18" s="99">
        <f t="shared" si="4"/>
        <v>0</v>
      </c>
      <c r="Z18" s="71">
        <v>2790</v>
      </c>
      <c r="AA18" s="99"/>
      <c r="AB18" s="84">
        <v>-1230</v>
      </c>
      <c r="AC18" s="99"/>
      <c r="AD18" s="99"/>
      <c r="AE18" s="99"/>
      <c r="AF18" s="99">
        <f t="shared" si="5"/>
        <v>1560</v>
      </c>
      <c r="AG18" s="99">
        <f t="shared" si="6"/>
        <v>0</v>
      </c>
      <c r="AH18" s="85">
        <v>0</v>
      </c>
      <c r="AI18" s="99"/>
      <c r="AJ18" s="84">
        <v>0</v>
      </c>
      <c r="AK18" s="99"/>
      <c r="AL18" s="84">
        <v>0</v>
      </c>
      <c r="AM18" s="99"/>
      <c r="AN18" s="99">
        <f t="shared" si="7"/>
        <v>0</v>
      </c>
      <c r="AO18" s="99">
        <f t="shared" si="8"/>
        <v>0</v>
      </c>
      <c r="AP18" s="322"/>
    </row>
    <row r="19" spans="1:42" s="100" customFormat="1" ht="75" customHeight="1" x14ac:dyDescent="0.35">
      <c r="A19" s="96">
        <v>4</v>
      </c>
      <c r="B19" s="102" t="s">
        <v>74</v>
      </c>
      <c r="C19" s="97">
        <f t="shared" si="0"/>
        <v>300000</v>
      </c>
      <c r="D19" s="101">
        <f>200000+100000</f>
        <v>300000</v>
      </c>
      <c r="E19" s="101"/>
      <c r="F19" s="101"/>
      <c r="G19" s="97"/>
      <c r="H19" s="86" t="s">
        <v>45</v>
      </c>
      <c r="I19" s="86" t="s">
        <v>46</v>
      </c>
      <c r="J19" s="83">
        <v>11114</v>
      </c>
      <c r="K19" s="98"/>
      <c r="L19" s="83">
        <v>3270</v>
      </c>
      <c r="M19" s="98"/>
      <c r="N19" s="83">
        <v>3964</v>
      </c>
      <c r="O19" s="98"/>
      <c r="P19" s="99">
        <f t="shared" si="1"/>
        <v>18348</v>
      </c>
      <c r="Q19" s="99">
        <f t="shared" si="2"/>
        <v>0</v>
      </c>
      <c r="R19" s="84">
        <v>3270</v>
      </c>
      <c r="S19" s="99"/>
      <c r="T19" s="84">
        <v>16957</v>
      </c>
      <c r="U19" s="99"/>
      <c r="V19" s="84">
        <v>39954</v>
      </c>
      <c r="W19" s="99"/>
      <c r="X19" s="99">
        <f t="shared" si="3"/>
        <v>60181</v>
      </c>
      <c r="Y19" s="99">
        <f t="shared" si="4"/>
        <v>0</v>
      </c>
      <c r="Z19" s="71">
        <v>78514</v>
      </c>
      <c r="AA19" s="99"/>
      <c r="AB19" s="84">
        <v>2925</v>
      </c>
      <c r="AC19" s="99"/>
      <c r="AD19" s="84">
        <v>680</v>
      </c>
      <c r="AE19" s="99"/>
      <c r="AF19" s="99">
        <f t="shared" si="5"/>
        <v>82119</v>
      </c>
      <c r="AG19" s="99">
        <f t="shared" si="6"/>
        <v>0</v>
      </c>
      <c r="AH19" s="85">
        <v>600</v>
      </c>
      <c r="AI19" s="99"/>
      <c r="AJ19" s="84">
        <v>0</v>
      </c>
      <c r="AK19" s="99"/>
      <c r="AL19" s="84">
        <v>71394</v>
      </c>
      <c r="AM19" s="99"/>
      <c r="AN19" s="99">
        <f t="shared" si="7"/>
        <v>71994</v>
      </c>
      <c r="AO19" s="99">
        <f t="shared" si="8"/>
        <v>0</v>
      </c>
      <c r="AP19" s="323"/>
    </row>
    <row r="20" spans="1:42" s="100" customFormat="1" ht="75" customHeight="1" x14ac:dyDescent="0.35">
      <c r="A20" s="96">
        <v>5</v>
      </c>
      <c r="B20" s="102" t="s">
        <v>14</v>
      </c>
      <c r="C20" s="97">
        <f t="shared" si="0"/>
        <v>14000</v>
      </c>
      <c r="D20" s="101">
        <v>14000</v>
      </c>
      <c r="E20" s="101"/>
      <c r="F20" s="101"/>
      <c r="G20" s="97"/>
      <c r="H20" s="86" t="s">
        <v>75</v>
      </c>
      <c r="I20" s="86" t="s">
        <v>46</v>
      </c>
      <c r="J20" s="98"/>
      <c r="K20" s="98"/>
      <c r="L20" s="96"/>
      <c r="M20" s="98"/>
      <c r="N20" s="98"/>
      <c r="O20" s="98"/>
      <c r="P20" s="99">
        <f t="shared" si="1"/>
        <v>0</v>
      </c>
      <c r="Q20" s="99">
        <f t="shared" si="2"/>
        <v>0</v>
      </c>
      <c r="R20" s="99"/>
      <c r="S20" s="99"/>
      <c r="T20" s="99"/>
      <c r="U20" s="99"/>
      <c r="V20" s="84">
        <v>6770.12</v>
      </c>
      <c r="W20" s="99"/>
      <c r="X20" s="99">
        <f t="shared" si="3"/>
        <v>6770.12</v>
      </c>
      <c r="Y20" s="99">
        <f t="shared" si="4"/>
        <v>0</v>
      </c>
      <c r="Z20" s="71">
        <v>2749.8</v>
      </c>
      <c r="AA20" s="99"/>
      <c r="AB20" s="99"/>
      <c r="AC20" s="99"/>
      <c r="AD20" s="99"/>
      <c r="AE20" s="99"/>
      <c r="AF20" s="99">
        <f t="shared" si="5"/>
        <v>2749.8</v>
      </c>
      <c r="AG20" s="99">
        <f t="shared" si="6"/>
        <v>0</v>
      </c>
      <c r="AH20" s="85">
        <v>3928.84</v>
      </c>
      <c r="AI20" s="99"/>
      <c r="AJ20" s="84">
        <v>0</v>
      </c>
      <c r="AK20" s="99"/>
      <c r="AL20" s="84">
        <v>0</v>
      </c>
      <c r="AM20" s="99"/>
      <c r="AN20" s="99">
        <f t="shared" si="7"/>
        <v>3928.84</v>
      </c>
      <c r="AO20" s="99">
        <f t="shared" si="8"/>
        <v>0</v>
      </c>
      <c r="AP20" s="86" t="s">
        <v>342</v>
      </c>
    </row>
    <row r="21" spans="1:42" s="100" customFormat="1" ht="161.25" customHeight="1" x14ac:dyDescent="0.35">
      <c r="A21" s="96">
        <v>6</v>
      </c>
      <c r="B21" s="86" t="s">
        <v>48</v>
      </c>
      <c r="C21" s="97">
        <f t="shared" si="0"/>
        <v>14000</v>
      </c>
      <c r="D21" s="101">
        <v>14000</v>
      </c>
      <c r="E21" s="101"/>
      <c r="F21" s="101"/>
      <c r="G21" s="97"/>
      <c r="H21" s="86" t="s">
        <v>47</v>
      </c>
      <c r="I21" s="86" t="s">
        <v>24</v>
      </c>
      <c r="J21" s="98"/>
      <c r="K21" s="98"/>
      <c r="L21" s="96"/>
      <c r="M21" s="98"/>
      <c r="N21" s="83">
        <v>7740</v>
      </c>
      <c r="O21" s="98"/>
      <c r="P21" s="99">
        <f t="shared" si="1"/>
        <v>7740</v>
      </c>
      <c r="Q21" s="99">
        <f t="shared" si="2"/>
        <v>0</v>
      </c>
      <c r="R21" s="99"/>
      <c r="S21" s="99"/>
      <c r="T21" s="84">
        <v>2000</v>
      </c>
      <c r="U21" s="99"/>
      <c r="V21" s="99"/>
      <c r="W21" s="99"/>
      <c r="X21" s="99">
        <f t="shared" si="3"/>
        <v>2000</v>
      </c>
      <c r="Y21" s="99">
        <f t="shared" si="4"/>
        <v>0</v>
      </c>
      <c r="Z21" s="71">
        <v>2260</v>
      </c>
      <c r="AA21" s="99"/>
      <c r="AB21" s="99"/>
      <c r="AC21" s="99"/>
      <c r="AD21" s="99"/>
      <c r="AE21" s="99"/>
      <c r="AF21" s="99">
        <f t="shared" si="5"/>
        <v>2260</v>
      </c>
      <c r="AG21" s="99">
        <f t="shared" si="6"/>
        <v>0</v>
      </c>
      <c r="AH21" s="85">
        <v>0</v>
      </c>
      <c r="AI21" s="99"/>
      <c r="AJ21" s="84">
        <v>1604.5100000000002</v>
      </c>
      <c r="AK21" s="99"/>
      <c r="AL21" s="84">
        <v>0</v>
      </c>
      <c r="AM21" s="99"/>
      <c r="AN21" s="99">
        <f t="shared" si="7"/>
        <v>1604.5100000000002</v>
      </c>
      <c r="AO21" s="99">
        <f t="shared" si="8"/>
        <v>0</v>
      </c>
      <c r="AP21" s="86" t="s">
        <v>341</v>
      </c>
    </row>
    <row r="22" spans="1:42" s="100" customFormat="1" ht="184.5" customHeight="1" x14ac:dyDescent="0.35">
      <c r="A22" s="96">
        <v>7</v>
      </c>
      <c r="B22" s="86" t="s">
        <v>105</v>
      </c>
      <c r="C22" s="97">
        <f t="shared" si="0"/>
        <v>67796</v>
      </c>
      <c r="D22" s="101">
        <f>24310+1000+32886+9600</f>
        <v>67796</v>
      </c>
      <c r="E22" s="101"/>
      <c r="F22" s="101"/>
      <c r="G22" s="97"/>
      <c r="H22" s="86" t="s">
        <v>112</v>
      </c>
      <c r="I22" s="86" t="s">
        <v>101</v>
      </c>
      <c r="J22" s="98"/>
      <c r="K22" s="98"/>
      <c r="L22" s="96">
        <f>200</f>
        <v>200</v>
      </c>
      <c r="M22" s="98"/>
      <c r="N22" s="83">
        <f>748+100</f>
        <v>848</v>
      </c>
      <c r="O22" s="98"/>
      <c r="P22" s="99">
        <f t="shared" si="1"/>
        <v>1048</v>
      </c>
      <c r="Q22" s="99">
        <f t="shared" si="2"/>
        <v>0</v>
      </c>
      <c r="R22" s="99"/>
      <c r="S22" s="99"/>
      <c r="T22" s="99">
        <v>253</v>
      </c>
      <c r="U22" s="99"/>
      <c r="V22" s="99"/>
      <c r="W22" s="99"/>
      <c r="X22" s="99">
        <f t="shared" si="3"/>
        <v>253</v>
      </c>
      <c r="Y22" s="99">
        <f t="shared" si="4"/>
        <v>0</v>
      </c>
      <c r="Z22" s="81"/>
      <c r="AA22" s="99"/>
      <c r="AB22" s="84">
        <v>429.51</v>
      </c>
      <c r="AC22" s="99"/>
      <c r="AD22" s="99"/>
      <c r="AE22" s="99"/>
      <c r="AF22" s="99">
        <f t="shared" si="5"/>
        <v>429.51</v>
      </c>
      <c r="AG22" s="99">
        <f t="shared" si="6"/>
        <v>0</v>
      </c>
      <c r="AH22" s="99">
        <v>246.83</v>
      </c>
      <c r="AI22" s="99"/>
      <c r="AJ22" s="99">
        <v>2050</v>
      </c>
      <c r="AK22" s="99"/>
      <c r="AL22" s="99">
        <v>62119.3</v>
      </c>
      <c r="AM22" s="99"/>
      <c r="AN22" s="99">
        <f t="shared" si="7"/>
        <v>64416.130000000005</v>
      </c>
      <c r="AO22" s="99">
        <f t="shared" si="8"/>
        <v>0</v>
      </c>
      <c r="AP22" s="86" t="s">
        <v>427</v>
      </c>
    </row>
    <row r="23" spans="1:42" s="100" customFormat="1" ht="138.75" customHeight="1" x14ac:dyDescent="0.35">
      <c r="A23" s="96">
        <v>8</v>
      </c>
      <c r="B23" s="86" t="s">
        <v>88</v>
      </c>
      <c r="C23" s="97">
        <f t="shared" si="0"/>
        <v>59050</v>
      </c>
      <c r="D23" s="101">
        <f>64936+30000-3000-32886</f>
        <v>59050</v>
      </c>
      <c r="E23" s="101"/>
      <c r="F23" s="101"/>
      <c r="G23" s="97"/>
      <c r="H23" s="86" t="s">
        <v>69</v>
      </c>
      <c r="I23" s="86" t="s">
        <v>49</v>
      </c>
      <c r="J23" s="98"/>
      <c r="K23" s="98"/>
      <c r="L23" s="96"/>
      <c r="M23" s="98"/>
      <c r="N23" s="98"/>
      <c r="O23" s="98"/>
      <c r="P23" s="99">
        <f t="shared" si="1"/>
        <v>0</v>
      </c>
      <c r="Q23" s="99">
        <f t="shared" si="2"/>
        <v>0</v>
      </c>
      <c r="R23" s="99"/>
      <c r="S23" s="99"/>
      <c r="T23" s="99">
        <v>36850</v>
      </c>
      <c r="U23" s="99"/>
      <c r="V23" s="99">
        <v>4200</v>
      </c>
      <c r="W23" s="99"/>
      <c r="X23" s="99">
        <f t="shared" si="3"/>
        <v>41050</v>
      </c>
      <c r="Y23" s="99">
        <f t="shared" si="4"/>
        <v>0</v>
      </c>
      <c r="Z23" s="81"/>
      <c r="AA23" s="99"/>
      <c r="AB23" s="99"/>
      <c r="AC23" s="99"/>
      <c r="AD23" s="99"/>
      <c r="AE23" s="99"/>
      <c r="AF23" s="99">
        <f t="shared" si="5"/>
        <v>0</v>
      </c>
      <c r="AG23" s="99">
        <f t="shared" si="6"/>
        <v>0</v>
      </c>
      <c r="AH23" s="99"/>
      <c r="AI23" s="99"/>
      <c r="AJ23" s="99">
        <v>14800</v>
      </c>
      <c r="AK23" s="99"/>
      <c r="AL23" s="99">
        <v>3120</v>
      </c>
      <c r="AM23" s="99"/>
      <c r="AN23" s="99">
        <f t="shared" si="7"/>
        <v>17920</v>
      </c>
      <c r="AO23" s="99">
        <f t="shared" si="8"/>
        <v>0</v>
      </c>
      <c r="AP23" s="86" t="s">
        <v>428</v>
      </c>
    </row>
    <row r="24" spans="1:42" s="251" customFormat="1" ht="87" customHeight="1" x14ac:dyDescent="0.35">
      <c r="A24" s="246">
        <v>9</v>
      </c>
      <c r="B24" s="73" t="s">
        <v>90</v>
      </c>
      <c r="C24" s="250">
        <f t="shared" si="0"/>
        <v>40400</v>
      </c>
      <c r="D24" s="252">
        <f>50000-9600</f>
        <v>40400</v>
      </c>
      <c r="E24" s="252"/>
      <c r="F24" s="252"/>
      <c r="G24" s="250"/>
      <c r="H24" s="73" t="s">
        <v>82</v>
      </c>
      <c r="I24" s="73" t="s">
        <v>83</v>
      </c>
      <c r="J24" s="255"/>
      <c r="K24" s="255"/>
      <c r="L24" s="246"/>
      <c r="M24" s="255"/>
      <c r="N24" s="255"/>
      <c r="O24" s="255"/>
      <c r="P24" s="81">
        <f t="shared" si="1"/>
        <v>0</v>
      </c>
      <c r="Q24" s="81">
        <f t="shared" si="2"/>
        <v>0</v>
      </c>
      <c r="R24" s="81"/>
      <c r="S24" s="81"/>
      <c r="T24" s="81"/>
      <c r="U24" s="81"/>
      <c r="V24" s="71">
        <v>16975</v>
      </c>
      <c r="W24" s="81"/>
      <c r="X24" s="81">
        <f t="shared" si="3"/>
        <v>16975</v>
      </c>
      <c r="Y24" s="81">
        <f t="shared" si="4"/>
        <v>0</v>
      </c>
      <c r="Z24" s="270">
        <f>23425-180</f>
        <v>23245</v>
      </c>
      <c r="AA24" s="81"/>
      <c r="AB24" s="81"/>
      <c r="AC24" s="81"/>
      <c r="AD24" s="81"/>
      <c r="AE24" s="81"/>
      <c r="AF24" s="81">
        <f t="shared" si="5"/>
        <v>23245</v>
      </c>
      <c r="AG24" s="81">
        <f t="shared" si="6"/>
        <v>0</v>
      </c>
      <c r="AH24" s="81"/>
      <c r="AI24" s="81"/>
      <c r="AJ24" s="81"/>
      <c r="AK24" s="81"/>
      <c r="AL24" s="81"/>
      <c r="AM24" s="81"/>
      <c r="AN24" s="81">
        <f t="shared" si="7"/>
        <v>0</v>
      </c>
      <c r="AO24" s="81">
        <f t="shared" si="8"/>
        <v>0</v>
      </c>
      <c r="AP24" s="73" t="s">
        <v>340</v>
      </c>
    </row>
    <row r="25" spans="1:42" s="100" customFormat="1" ht="180" x14ac:dyDescent="0.35">
      <c r="A25" s="96">
        <v>10</v>
      </c>
      <c r="B25" s="86" t="s">
        <v>304</v>
      </c>
      <c r="C25" s="97">
        <f t="shared" si="0"/>
        <v>3000</v>
      </c>
      <c r="D25" s="101">
        <v>3000</v>
      </c>
      <c r="E25" s="101"/>
      <c r="F25" s="101"/>
      <c r="G25" s="97"/>
      <c r="H25" s="86" t="s">
        <v>305</v>
      </c>
      <c r="I25" s="86" t="s">
        <v>306</v>
      </c>
      <c r="J25" s="98"/>
      <c r="K25" s="98"/>
      <c r="L25" s="96"/>
      <c r="M25" s="98"/>
      <c r="N25" s="98"/>
      <c r="O25" s="98"/>
      <c r="P25" s="99">
        <f t="shared" ref="P25:P33" si="9">J25+L25+N25</f>
        <v>0</v>
      </c>
      <c r="Q25" s="99">
        <f t="shared" ref="Q25:Q33" si="10">K25+M25+O25</f>
        <v>0</v>
      </c>
      <c r="R25" s="99"/>
      <c r="S25" s="99"/>
      <c r="T25" s="99"/>
      <c r="U25" s="99"/>
      <c r="V25" s="99"/>
      <c r="W25" s="99"/>
      <c r="X25" s="99">
        <f t="shared" ref="X25:X33" si="11">R25+T25+V25</f>
        <v>0</v>
      </c>
      <c r="Y25" s="99">
        <f t="shared" ref="Y25:Y33" si="12">S25+U25+W25</f>
        <v>0</v>
      </c>
      <c r="Z25" s="81">
        <v>3000</v>
      </c>
      <c r="AA25" s="99"/>
      <c r="AB25" s="99"/>
      <c r="AC25" s="99"/>
      <c r="AD25" s="99"/>
      <c r="AE25" s="99"/>
      <c r="AF25" s="99">
        <f t="shared" si="5"/>
        <v>3000</v>
      </c>
      <c r="AG25" s="99">
        <f t="shared" si="6"/>
        <v>0</v>
      </c>
      <c r="AH25" s="99"/>
      <c r="AI25" s="99"/>
      <c r="AJ25" s="99"/>
      <c r="AK25" s="99"/>
      <c r="AL25" s="99"/>
      <c r="AM25" s="99"/>
      <c r="AN25" s="99">
        <f t="shared" si="7"/>
        <v>0</v>
      </c>
      <c r="AO25" s="99">
        <f t="shared" si="8"/>
        <v>0</v>
      </c>
      <c r="AP25" s="94" t="s">
        <v>390</v>
      </c>
    </row>
    <row r="26" spans="1:42" s="100" customFormat="1" ht="198" x14ac:dyDescent="0.35">
      <c r="A26" s="96">
        <v>11</v>
      </c>
      <c r="B26" s="86" t="s">
        <v>307</v>
      </c>
      <c r="C26" s="97">
        <f t="shared" si="0"/>
        <v>11260</v>
      </c>
      <c r="D26" s="101"/>
      <c r="E26" s="101">
        <f>3360+6400+1500</f>
        <v>11260</v>
      </c>
      <c r="F26" s="101"/>
      <c r="G26" s="97"/>
      <c r="H26" s="86" t="s">
        <v>308</v>
      </c>
      <c r="I26" s="86" t="s">
        <v>306</v>
      </c>
      <c r="J26" s="98"/>
      <c r="K26" s="98"/>
      <c r="L26" s="96"/>
      <c r="M26" s="98"/>
      <c r="N26" s="98"/>
      <c r="O26" s="98"/>
      <c r="P26" s="99">
        <f t="shared" si="9"/>
        <v>0</v>
      </c>
      <c r="Q26" s="99">
        <f t="shared" si="10"/>
        <v>0</v>
      </c>
      <c r="R26" s="99"/>
      <c r="S26" s="99"/>
      <c r="T26" s="99"/>
      <c r="U26" s="99"/>
      <c r="V26" s="99"/>
      <c r="W26" s="99"/>
      <c r="X26" s="99">
        <f t="shared" si="11"/>
        <v>0</v>
      </c>
      <c r="Y26" s="99">
        <f t="shared" si="12"/>
        <v>0</v>
      </c>
      <c r="Z26" s="81"/>
      <c r="AA26" s="99"/>
      <c r="AB26" s="99"/>
      <c r="AC26" s="99">
        <f>3360+6400+1500</f>
        <v>11260</v>
      </c>
      <c r="AD26" s="99"/>
      <c r="AE26" s="99"/>
      <c r="AF26" s="99">
        <f t="shared" si="5"/>
        <v>0</v>
      </c>
      <c r="AG26" s="99">
        <f t="shared" si="6"/>
        <v>11260</v>
      </c>
      <c r="AH26" s="99"/>
      <c r="AI26" s="99"/>
      <c r="AJ26" s="99"/>
      <c r="AK26" s="99"/>
      <c r="AL26" s="99"/>
      <c r="AM26" s="99"/>
      <c r="AN26" s="99">
        <f t="shared" si="7"/>
        <v>0</v>
      </c>
      <c r="AO26" s="99">
        <f t="shared" si="8"/>
        <v>0</v>
      </c>
      <c r="AP26" s="94" t="s">
        <v>390</v>
      </c>
    </row>
    <row r="27" spans="1:42" s="100" customFormat="1" ht="198" x14ac:dyDescent="0.35">
      <c r="A27" s="96">
        <v>12</v>
      </c>
      <c r="B27" s="86" t="s">
        <v>309</v>
      </c>
      <c r="C27" s="97">
        <f t="shared" si="0"/>
        <v>240</v>
      </c>
      <c r="D27" s="101"/>
      <c r="E27" s="101">
        <v>240</v>
      </c>
      <c r="F27" s="101"/>
      <c r="G27" s="97"/>
      <c r="H27" s="86" t="s">
        <v>308</v>
      </c>
      <c r="I27" s="86" t="s">
        <v>310</v>
      </c>
      <c r="J27" s="98"/>
      <c r="K27" s="98"/>
      <c r="L27" s="96"/>
      <c r="M27" s="98"/>
      <c r="N27" s="98"/>
      <c r="O27" s="98"/>
      <c r="P27" s="99">
        <f t="shared" si="9"/>
        <v>0</v>
      </c>
      <c r="Q27" s="99">
        <f t="shared" si="10"/>
        <v>0</v>
      </c>
      <c r="R27" s="99"/>
      <c r="S27" s="99"/>
      <c r="T27" s="99"/>
      <c r="U27" s="99"/>
      <c r="V27" s="99"/>
      <c r="W27" s="99"/>
      <c r="X27" s="99">
        <f t="shared" si="11"/>
        <v>0</v>
      </c>
      <c r="Y27" s="99">
        <f t="shared" si="12"/>
        <v>0</v>
      </c>
      <c r="Z27" s="81"/>
      <c r="AA27" s="99"/>
      <c r="AB27" s="99"/>
      <c r="AC27" s="103">
        <v>224.67</v>
      </c>
      <c r="AD27" s="99"/>
      <c r="AE27" s="99"/>
      <c r="AF27" s="99">
        <f t="shared" si="5"/>
        <v>0</v>
      </c>
      <c r="AG27" s="99">
        <f t="shared" si="6"/>
        <v>224.67</v>
      </c>
      <c r="AH27" s="99"/>
      <c r="AI27" s="99"/>
      <c r="AJ27" s="99"/>
      <c r="AK27" s="99"/>
      <c r="AL27" s="99"/>
      <c r="AM27" s="99"/>
      <c r="AN27" s="99">
        <f t="shared" si="7"/>
        <v>0</v>
      </c>
      <c r="AO27" s="99">
        <f t="shared" si="8"/>
        <v>0</v>
      </c>
      <c r="AP27" s="94" t="s">
        <v>389</v>
      </c>
    </row>
    <row r="28" spans="1:42" s="100" customFormat="1" ht="198" x14ac:dyDescent="0.35">
      <c r="A28" s="96">
        <v>13</v>
      </c>
      <c r="B28" s="86" t="s">
        <v>311</v>
      </c>
      <c r="C28" s="97">
        <f t="shared" si="0"/>
        <v>2100</v>
      </c>
      <c r="D28" s="101"/>
      <c r="E28" s="101">
        <v>2100</v>
      </c>
      <c r="F28" s="101"/>
      <c r="G28" s="97"/>
      <c r="H28" s="86" t="s">
        <v>308</v>
      </c>
      <c r="I28" s="86" t="s">
        <v>312</v>
      </c>
      <c r="J28" s="98"/>
      <c r="K28" s="98"/>
      <c r="L28" s="96"/>
      <c r="M28" s="98"/>
      <c r="N28" s="98"/>
      <c r="O28" s="98"/>
      <c r="P28" s="99">
        <f t="shared" si="9"/>
        <v>0</v>
      </c>
      <c r="Q28" s="99">
        <f t="shared" si="10"/>
        <v>0</v>
      </c>
      <c r="R28" s="99"/>
      <c r="S28" s="99"/>
      <c r="T28" s="99"/>
      <c r="U28" s="99"/>
      <c r="V28" s="99"/>
      <c r="W28" s="99"/>
      <c r="X28" s="99">
        <f t="shared" si="11"/>
        <v>0</v>
      </c>
      <c r="Y28" s="99">
        <f t="shared" si="12"/>
        <v>0</v>
      </c>
      <c r="Z28" s="81"/>
      <c r="AA28" s="99"/>
      <c r="AB28" s="99"/>
      <c r="AC28" s="103">
        <v>2100</v>
      </c>
      <c r="AD28" s="99"/>
      <c r="AE28" s="99"/>
      <c r="AF28" s="99">
        <f t="shared" si="5"/>
        <v>0</v>
      </c>
      <c r="AG28" s="99">
        <f t="shared" si="6"/>
        <v>2100</v>
      </c>
      <c r="AH28" s="99"/>
      <c r="AI28" s="99"/>
      <c r="AJ28" s="99"/>
      <c r="AK28" s="99"/>
      <c r="AL28" s="99"/>
      <c r="AM28" s="99"/>
      <c r="AN28" s="99">
        <f t="shared" si="7"/>
        <v>0</v>
      </c>
      <c r="AO28" s="99">
        <f t="shared" si="8"/>
        <v>0</v>
      </c>
      <c r="AP28" s="94" t="s">
        <v>348</v>
      </c>
    </row>
    <row r="29" spans="1:42" s="100" customFormat="1" ht="198" x14ac:dyDescent="0.35">
      <c r="A29" s="96">
        <v>14</v>
      </c>
      <c r="B29" s="86" t="s">
        <v>313</v>
      </c>
      <c r="C29" s="97">
        <f t="shared" si="0"/>
        <v>1400</v>
      </c>
      <c r="D29" s="101"/>
      <c r="E29" s="101">
        <v>1400</v>
      </c>
      <c r="F29" s="101"/>
      <c r="G29" s="97"/>
      <c r="H29" s="86" t="s">
        <v>308</v>
      </c>
      <c r="I29" s="86" t="s">
        <v>314</v>
      </c>
      <c r="J29" s="98"/>
      <c r="K29" s="98"/>
      <c r="L29" s="96"/>
      <c r="M29" s="98"/>
      <c r="N29" s="98"/>
      <c r="O29" s="98"/>
      <c r="P29" s="99">
        <f t="shared" si="9"/>
        <v>0</v>
      </c>
      <c r="Q29" s="99">
        <f t="shared" si="10"/>
        <v>0</v>
      </c>
      <c r="R29" s="99"/>
      <c r="S29" s="99"/>
      <c r="T29" s="99"/>
      <c r="U29" s="99"/>
      <c r="V29" s="99"/>
      <c r="W29" s="99"/>
      <c r="X29" s="99">
        <f t="shared" si="11"/>
        <v>0</v>
      </c>
      <c r="Y29" s="99">
        <f t="shared" si="12"/>
        <v>0</v>
      </c>
      <c r="Z29" s="81"/>
      <c r="AA29" s="99"/>
      <c r="AB29" s="99"/>
      <c r="AC29" s="103">
        <v>1400</v>
      </c>
      <c r="AD29" s="99"/>
      <c r="AE29" s="99"/>
      <c r="AF29" s="99">
        <f t="shared" si="5"/>
        <v>0</v>
      </c>
      <c r="AG29" s="99">
        <f t="shared" si="6"/>
        <v>1400</v>
      </c>
      <c r="AH29" s="99"/>
      <c r="AI29" s="99"/>
      <c r="AJ29" s="99"/>
      <c r="AK29" s="99"/>
      <c r="AL29" s="99"/>
      <c r="AM29" s="99"/>
      <c r="AN29" s="99">
        <f t="shared" si="7"/>
        <v>0</v>
      </c>
      <c r="AO29" s="99">
        <f t="shared" si="8"/>
        <v>0</v>
      </c>
      <c r="AP29" s="94" t="s">
        <v>348</v>
      </c>
    </row>
    <row r="30" spans="1:42" s="100" customFormat="1" ht="180" x14ac:dyDescent="0.35">
      <c r="A30" s="96">
        <v>15</v>
      </c>
      <c r="B30" s="86" t="s">
        <v>315</v>
      </c>
      <c r="C30" s="97">
        <f t="shared" si="0"/>
        <v>3640</v>
      </c>
      <c r="D30" s="101"/>
      <c r="E30" s="101">
        <v>3640</v>
      </c>
      <c r="F30" s="101"/>
      <c r="G30" s="97"/>
      <c r="H30" s="86" t="s">
        <v>305</v>
      </c>
      <c r="I30" s="86" t="s">
        <v>306</v>
      </c>
      <c r="J30" s="98"/>
      <c r="K30" s="98"/>
      <c r="L30" s="96"/>
      <c r="M30" s="98"/>
      <c r="N30" s="98"/>
      <c r="O30" s="98"/>
      <c r="P30" s="99">
        <f t="shared" si="9"/>
        <v>0</v>
      </c>
      <c r="Q30" s="99">
        <f t="shared" si="10"/>
        <v>0</v>
      </c>
      <c r="R30" s="99"/>
      <c r="S30" s="99"/>
      <c r="T30" s="99"/>
      <c r="U30" s="99"/>
      <c r="V30" s="99"/>
      <c r="W30" s="99"/>
      <c r="X30" s="99">
        <f t="shared" si="11"/>
        <v>0</v>
      </c>
      <c r="Y30" s="99">
        <f t="shared" si="12"/>
        <v>0</v>
      </c>
      <c r="Z30" s="69"/>
      <c r="AA30" s="99">
        <v>3640</v>
      </c>
      <c r="AB30" s="99"/>
      <c r="AC30" s="99"/>
      <c r="AD30" s="99"/>
      <c r="AE30" s="99"/>
      <c r="AF30" s="99">
        <f t="shared" si="5"/>
        <v>0</v>
      </c>
      <c r="AG30" s="99">
        <f t="shared" si="6"/>
        <v>3640</v>
      </c>
      <c r="AH30" s="99"/>
      <c r="AI30" s="99"/>
      <c r="AJ30" s="99"/>
      <c r="AK30" s="99"/>
      <c r="AL30" s="99"/>
      <c r="AM30" s="99"/>
      <c r="AN30" s="99">
        <f t="shared" si="7"/>
        <v>0</v>
      </c>
      <c r="AO30" s="99">
        <f t="shared" si="8"/>
        <v>0</v>
      </c>
      <c r="AP30" s="94" t="s">
        <v>390</v>
      </c>
    </row>
    <row r="31" spans="1:42" s="100" customFormat="1" ht="180" x14ac:dyDescent="0.35">
      <c r="A31" s="96">
        <v>16</v>
      </c>
      <c r="B31" s="86" t="s">
        <v>316</v>
      </c>
      <c r="C31" s="97">
        <f t="shared" si="0"/>
        <v>360</v>
      </c>
      <c r="D31" s="101"/>
      <c r="E31" s="101">
        <v>360</v>
      </c>
      <c r="F31" s="101"/>
      <c r="G31" s="97"/>
      <c r="H31" s="86" t="s">
        <v>305</v>
      </c>
      <c r="I31" s="86" t="s">
        <v>317</v>
      </c>
      <c r="J31" s="98"/>
      <c r="K31" s="98"/>
      <c r="L31" s="96"/>
      <c r="M31" s="98"/>
      <c r="N31" s="98"/>
      <c r="O31" s="98"/>
      <c r="P31" s="99">
        <f t="shared" si="9"/>
        <v>0</v>
      </c>
      <c r="Q31" s="99">
        <f t="shared" si="10"/>
        <v>0</v>
      </c>
      <c r="R31" s="99"/>
      <c r="S31" s="99"/>
      <c r="T31" s="99"/>
      <c r="U31" s="99"/>
      <c r="V31" s="99"/>
      <c r="W31" s="99"/>
      <c r="X31" s="99">
        <f t="shared" si="11"/>
        <v>0</v>
      </c>
      <c r="Y31" s="99">
        <f t="shared" si="12"/>
        <v>0</v>
      </c>
      <c r="Z31" s="81"/>
      <c r="AA31" s="99"/>
      <c r="AB31" s="99"/>
      <c r="AC31" s="103">
        <v>359.9</v>
      </c>
      <c r="AD31" s="99"/>
      <c r="AE31" s="99"/>
      <c r="AF31" s="99">
        <f t="shared" si="5"/>
        <v>0</v>
      </c>
      <c r="AG31" s="99">
        <f t="shared" si="6"/>
        <v>359.9</v>
      </c>
      <c r="AH31" s="99"/>
      <c r="AI31" s="99"/>
      <c r="AJ31" s="99"/>
      <c r="AK31" s="99"/>
      <c r="AL31" s="99"/>
      <c r="AM31" s="99"/>
      <c r="AN31" s="99">
        <f t="shared" si="7"/>
        <v>0</v>
      </c>
      <c r="AO31" s="99">
        <f t="shared" si="8"/>
        <v>0</v>
      </c>
      <c r="AP31" s="94" t="s">
        <v>389</v>
      </c>
    </row>
    <row r="32" spans="1:42" s="100" customFormat="1" ht="180" x14ac:dyDescent="0.35">
      <c r="A32" s="96">
        <v>17</v>
      </c>
      <c r="B32" s="86" t="s">
        <v>318</v>
      </c>
      <c r="C32" s="97">
        <f t="shared" si="0"/>
        <v>4000</v>
      </c>
      <c r="D32" s="101"/>
      <c r="E32" s="101">
        <v>4000</v>
      </c>
      <c r="F32" s="101"/>
      <c r="G32" s="97"/>
      <c r="H32" s="86" t="s">
        <v>305</v>
      </c>
      <c r="I32" s="86" t="s">
        <v>312</v>
      </c>
      <c r="J32" s="98"/>
      <c r="K32" s="98"/>
      <c r="L32" s="96"/>
      <c r="M32" s="98"/>
      <c r="N32" s="98"/>
      <c r="O32" s="98"/>
      <c r="P32" s="99">
        <f t="shared" si="9"/>
        <v>0</v>
      </c>
      <c r="Q32" s="99">
        <f t="shared" si="10"/>
        <v>0</v>
      </c>
      <c r="R32" s="99"/>
      <c r="S32" s="99"/>
      <c r="T32" s="99"/>
      <c r="U32" s="99"/>
      <c r="V32" s="99"/>
      <c r="W32" s="99"/>
      <c r="X32" s="99">
        <f t="shared" si="11"/>
        <v>0</v>
      </c>
      <c r="Y32" s="99">
        <f t="shared" si="12"/>
        <v>0</v>
      </c>
      <c r="Z32" s="69"/>
      <c r="AA32" s="99">
        <v>4000</v>
      </c>
      <c r="AB32" s="99"/>
      <c r="AC32" s="99"/>
      <c r="AD32" s="99"/>
      <c r="AE32" s="99"/>
      <c r="AF32" s="99">
        <f t="shared" si="5"/>
        <v>0</v>
      </c>
      <c r="AG32" s="99">
        <f t="shared" si="6"/>
        <v>4000</v>
      </c>
      <c r="AH32" s="99"/>
      <c r="AI32" s="99"/>
      <c r="AJ32" s="99"/>
      <c r="AK32" s="99"/>
      <c r="AL32" s="99"/>
      <c r="AM32" s="99"/>
      <c r="AN32" s="99">
        <f t="shared" si="7"/>
        <v>0</v>
      </c>
      <c r="AO32" s="99">
        <f t="shared" si="8"/>
        <v>0</v>
      </c>
      <c r="AP32" s="94" t="s">
        <v>348</v>
      </c>
    </row>
    <row r="33" spans="1:42" s="100" customFormat="1" ht="180" x14ac:dyDescent="0.35">
      <c r="A33" s="96">
        <v>18</v>
      </c>
      <c r="B33" s="86" t="s">
        <v>319</v>
      </c>
      <c r="C33" s="97">
        <f t="shared" si="0"/>
        <v>2000</v>
      </c>
      <c r="D33" s="101"/>
      <c r="E33" s="101">
        <v>2000</v>
      </c>
      <c r="F33" s="101"/>
      <c r="G33" s="97"/>
      <c r="H33" s="86" t="s">
        <v>305</v>
      </c>
      <c r="I33" s="86" t="s">
        <v>314</v>
      </c>
      <c r="J33" s="98"/>
      <c r="K33" s="98"/>
      <c r="L33" s="96"/>
      <c r="M33" s="98"/>
      <c r="N33" s="98"/>
      <c r="O33" s="98"/>
      <c r="P33" s="99">
        <f t="shared" si="9"/>
        <v>0</v>
      </c>
      <c r="Q33" s="99">
        <f t="shared" si="10"/>
        <v>0</v>
      </c>
      <c r="R33" s="99"/>
      <c r="S33" s="99"/>
      <c r="T33" s="99"/>
      <c r="U33" s="99"/>
      <c r="V33" s="99"/>
      <c r="W33" s="99"/>
      <c r="X33" s="99">
        <f t="shared" si="11"/>
        <v>0</v>
      </c>
      <c r="Y33" s="99">
        <f t="shared" si="12"/>
        <v>0</v>
      </c>
      <c r="Z33" s="69"/>
      <c r="AA33" s="99">
        <v>2000</v>
      </c>
      <c r="AB33" s="99"/>
      <c r="AC33" s="99"/>
      <c r="AD33" s="99"/>
      <c r="AE33" s="99"/>
      <c r="AF33" s="99">
        <f t="shared" si="5"/>
        <v>0</v>
      </c>
      <c r="AG33" s="99">
        <f t="shared" si="6"/>
        <v>2000</v>
      </c>
      <c r="AH33" s="99"/>
      <c r="AI33" s="99"/>
      <c r="AJ33" s="99"/>
      <c r="AK33" s="99"/>
      <c r="AL33" s="99"/>
      <c r="AM33" s="99"/>
      <c r="AN33" s="99">
        <f t="shared" si="7"/>
        <v>0</v>
      </c>
      <c r="AO33" s="99">
        <f t="shared" si="8"/>
        <v>0</v>
      </c>
      <c r="AP33" s="94" t="s">
        <v>348</v>
      </c>
    </row>
    <row r="34" spans="1:42" s="105" customFormat="1" ht="27.75" customHeight="1" x14ac:dyDescent="0.35">
      <c r="A34" s="90"/>
      <c r="B34" s="90" t="s">
        <v>13</v>
      </c>
      <c r="C34" s="92">
        <f>D34+E34+F34+G34</f>
        <v>3031325</v>
      </c>
      <c r="D34" s="92">
        <f>SUM(D16:D33)</f>
        <v>3006325</v>
      </c>
      <c r="E34" s="92">
        <f t="shared" ref="E34:G34" si="13">SUM(E16:E33)</f>
        <v>25000</v>
      </c>
      <c r="F34" s="92">
        <f t="shared" si="13"/>
        <v>0</v>
      </c>
      <c r="G34" s="92">
        <f t="shared" si="13"/>
        <v>0</v>
      </c>
      <c r="J34" s="104">
        <f>SUM(J16:J24)</f>
        <v>203403.04</v>
      </c>
      <c r="K34" s="104">
        <f t="shared" ref="K34:O34" si="14">SUM(K16:K24)</f>
        <v>0</v>
      </c>
      <c r="L34" s="104">
        <f t="shared" si="14"/>
        <v>197065.8</v>
      </c>
      <c r="M34" s="104">
        <f t="shared" si="14"/>
        <v>0</v>
      </c>
      <c r="N34" s="104">
        <f t="shared" si="14"/>
        <v>206942.00000000006</v>
      </c>
      <c r="O34" s="104">
        <f t="shared" si="14"/>
        <v>0</v>
      </c>
      <c r="P34" s="104">
        <f>SUM(P16:P33)</f>
        <v>607410.84000000008</v>
      </c>
      <c r="Q34" s="104">
        <f>SUM(Q16:Q33)</f>
        <v>0</v>
      </c>
      <c r="R34" s="104">
        <f>SUM(R16:R33)</f>
        <v>198149.03999999989</v>
      </c>
      <c r="S34" s="104">
        <f t="shared" ref="S34:W34" si="15">SUM(S16:S33)</f>
        <v>0</v>
      </c>
      <c r="T34" s="104">
        <f t="shared" si="15"/>
        <v>252510.02000000005</v>
      </c>
      <c r="U34" s="104">
        <f t="shared" si="15"/>
        <v>0</v>
      </c>
      <c r="V34" s="104">
        <f t="shared" si="15"/>
        <v>263981.98</v>
      </c>
      <c r="W34" s="104">
        <f t="shared" si="15"/>
        <v>0</v>
      </c>
      <c r="X34" s="104">
        <f>SUM(X16:X33)</f>
        <v>714641.03999999992</v>
      </c>
      <c r="Y34" s="104">
        <f>SUM(Y16:Y33)</f>
        <v>0</v>
      </c>
      <c r="Z34" s="257">
        <f>SUM(Z16:Z33)</f>
        <v>485065.12</v>
      </c>
      <c r="AA34" s="104">
        <f t="shared" ref="AA34:AG34" si="16">SUM(AA16:AA33)</f>
        <v>9640</v>
      </c>
      <c r="AB34" s="104">
        <f t="shared" si="16"/>
        <v>24312.429999999968</v>
      </c>
      <c r="AC34" s="104">
        <f t="shared" si="16"/>
        <v>15344.57</v>
      </c>
      <c r="AD34" s="104">
        <f t="shared" si="16"/>
        <v>186109.90999999997</v>
      </c>
      <c r="AE34" s="104">
        <f t="shared" si="16"/>
        <v>0</v>
      </c>
      <c r="AF34" s="104">
        <f t="shared" si="16"/>
        <v>695487.46</v>
      </c>
      <c r="AG34" s="104">
        <f t="shared" si="16"/>
        <v>24984.57</v>
      </c>
      <c r="AH34" s="104">
        <f>SUM(AH16:AH33)</f>
        <v>202969.47999999992</v>
      </c>
      <c r="AI34" s="104">
        <f t="shared" ref="AI34:AO34" si="17">SUM(AI16:AI33)</f>
        <v>0</v>
      </c>
      <c r="AJ34" s="104">
        <f t="shared" si="17"/>
        <v>217038.7900000001</v>
      </c>
      <c r="AK34" s="104">
        <f t="shared" si="17"/>
        <v>0</v>
      </c>
      <c r="AL34" s="104">
        <f t="shared" si="17"/>
        <v>335273.3</v>
      </c>
      <c r="AM34" s="104">
        <f t="shared" si="17"/>
        <v>0</v>
      </c>
      <c r="AN34" s="104">
        <f t="shared" si="17"/>
        <v>755281.57000000007</v>
      </c>
      <c r="AO34" s="104">
        <f t="shared" si="17"/>
        <v>0</v>
      </c>
    </row>
    <row r="35" spans="1:42" x14ac:dyDescent="0.3">
      <c r="G35" s="260"/>
      <c r="AI35" s="273"/>
      <c r="AK35" s="273"/>
      <c r="AM35" s="273"/>
      <c r="AN35" s="275"/>
      <c r="AO35" s="275"/>
    </row>
  </sheetData>
  <mergeCells count="40">
    <mergeCell ref="AH14:AI14"/>
    <mergeCell ref="AJ14:AK14"/>
    <mergeCell ref="AL14:AM14"/>
    <mergeCell ref="AN14:AO14"/>
    <mergeCell ref="AH13:AO13"/>
    <mergeCell ref="AP16:AP19"/>
    <mergeCell ref="F14:F15"/>
    <mergeCell ref="G14:G15"/>
    <mergeCell ref="J13:Q13"/>
    <mergeCell ref="AP13:AP15"/>
    <mergeCell ref="J14:K14"/>
    <mergeCell ref="L14:M14"/>
    <mergeCell ref="N14:O14"/>
    <mergeCell ref="P14:Q14"/>
    <mergeCell ref="R13:Y13"/>
    <mergeCell ref="R14:S14"/>
    <mergeCell ref="T14:U14"/>
    <mergeCell ref="V14:W14"/>
    <mergeCell ref="X14:Y14"/>
    <mergeCell ref="Z13:AG13"/>
    <mergeCell ref="Z14:AA14"/>
    <mergeCell ref="AB14:AC14"/>
    <mergeCell ref="AD14:AE14"/>
    <mergeCell ref="AF14:AG14"/>
    <mergeCell ref="A7:G7"/>
    <mergeCell ref="B8:G8"/>
    <mergeCell ref="H13:H15"/>
    <mergeCell ref="I13:I15"/>
    <mergeCell ref="A13:A15"/>
    <mergeCell ref="B13:B15"/>
    <mergeCell ref="C13:C15"/>
    <mergeCell ref="D13:G13"/>
    <mergeCell ref="A10:I10"/>
    <mergeCell ref="D14:D15"/>
    <mergeCell ref="E14:E15"/>
    <mergeCell ref="A1:I1"/>
    <mergeCell ref="B2:I2"/>
    <mergeCell ref="B3:I3"/>
    <mergeCell ref="B5:I5"/>
    <mergeCell ref="A6:I6"/>
  </mergeCells>
  <pageMargins left="0.11811023622047245" right="0.11811023622047245" top="0.74803149606299213" bottom="0.19685039370078741" header="0.19685039370078741" footer="0.19685039370078741"/>
  <pageSetup scale="60" orientation="landscape" r:id="rId1"/>
  <rowBreaks count="2" manualBreakCount="2">
    <brk id="9" max="16383" man="1"/>
    <brk id="2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ACBB2-AF56-48D7-B47A-9FE83FF55CBE}">
  <sheetPr>
    <tabColor theme="0"/>
  </sheetPr>
  <dimension ref="A1:BN41"/>
  <sheetViews>
    <sheetView topLeftCell="A25" zoomScale="70" zoomScaleNormal="70" zoomScaleSheetLayoutView="90" workbookViewId="0">
      <selection activeCell="M6" sqref="M6"/>
    </sheetView>
  </sheetViews>
  <sheetFormatPr defaultRowHeight="15" x14ac:dyDescent="0.3"/>
  <cols>
    <col min="1" max="1" width="4.875" style="42" customWidth="1"/>
    <col min="2" max="2" width="66" style="41" customWidth="1"/>
    <col min="3" max="3" width="14.75" style="42" customWidth="1"/>
    <col min="4" max="4" width="15.5" style="42" customWidth="1"/>
    <col min="5" max="5" width="16.375" style="42" customWidth="1"/>
    <col min="6" max="6" width="11.25" style="42" customWidth="1"/>
    <col min="7" max="7" width="14" style="42" customWidth="1"/>
    <col min="8" max="8" width="43.625" style="40" customWidth="1"/>
    <col min="9" max="9" width="28.625" style="40" customWidth="1"/>
    <col min="10" max="10" width="12.875" style="40" customWidth="1"/>
    <col min="11" max="11" width="11.375" style="40" customWidth="1"/>
    <col min="12" max="12" width="16.25" style="40" customWidth="1"/>
    <col min="13" max="13" width="13.5" style="40" customWidth="1"/>
    <col min="14" max="14" width="12.875" style="40" customWidth="1"/>
    <col min="15" max="15" width="12.125" style="40" customWidth="1"/>
    <col min="16" max="16" width="13.25" style="57" customWidth="1"/>
    <col min="17" max="17" width="11.375" style="57" customWidth="1"/>
    <col min="18" max="18" width="15.625" style="57" customWidth="1"/>
    <col min="19" max="33" width="11.375" style="57" customWidth="1"/>
    <col min="34" max="45" width="11.375" style="47" customWidth="1"/>
    <col min="46" max="49" width="11.375" style="57" customWidth="1"/>
    <col min="50" max="50" width="13.875" style="57" customWidth="1"/>
    <col min="51" max="53" width="11.375" style="57" customWidth="1"/>
    <col min="54" max="54" width="13.875" style="57" customWidth="1"/>
    <col min="55" max="57" width="11.375" style="57" customWidth="1"/>
    <col min="58" max="58" width="13.75" style="57" customWidth="1"/>
    <col min="59" max="61" width="11.375" style="57" customWidth="1"/>
    <col min="62" max="62" width="14.25" style="57" customWidth="1"/>
    <col min="63" max="65" width="11.375" style="57" customWidth="1"/>
    <col min="66" max="66" width="39.625" style="107" customWidth="1"/>
    <col min="67" max="16384" width="9" style="40"/>
  </cols>
  <sheetData>
    <row r="1" spans="1:66" ht="36" customHeight="1" x14ac:dyDescent="0.3">
      <c r="A1" s="331" t="s">
        <v>61</v>
      </c>
      <c r="B1" s="331"/>
      <c r="C1" s="331"/>
      <c r="D1" s="331"/>
      <c r="E1" s="331"/>
      <c r="F1" s="331"/>
      <c r="G1" s="331"/>
      <c r="H1" s="331"/>
      <c r="I1" s="331"/>
    </row>
    <row r="2" spans="1:66" ht="51.75" customHeight="1" x14ac:dyDescent="0.3">
      <c r="A2" s="108"/>
      <c r="B2" s="332" t="s">
        <v>0</v>
      </c>
      <c r="C2" s="332"/>
      <c r="D2" s="332"/>
      <c r="E2" s="332"/>
      <c r="F2" s="332"/>
      <c r="G2" s="332"/>
      <c r="H2" s="332"/>
      <c r="I2" s="332"/>
    </row>
    <row r="3" spans="1:66" ht="45" customHeight="1" x14ac:dyDescent="0.3">
      <c r="A3" s="108"/>
      <c r="B3" s="333" t="s">
        <v>30</v>
      </c>
      <c r="C3" s="333"/>
      <c r="D3" s="333"/>
      <c r="E3" s="333"/>
      <c r="F3" s="333"/>
      <c r="G3" s="333"/>
      <c r="H3" s="333"/>
      <c r="I3" s="333"/>
    </row>
    <row r="4" spans="1:66" ht="9" customHeight="1" x14ac:dyDescent="0.3">
      <c r="A4" s="108"/>
      <c r="B4" s="109"/>
      <c r="C4" s="108"/>
      <c r="D4" s="108"/>
      <c r="E4" s="108"/>
      <c r="F4" s="108"/>
      <c r="G4" s="108"/>
      <c r="H4" s="9"/>
      <c r="I4" s="9"/>
    </row>
    <row r="5" spans="1:66" ht="94.5" customHeight="1" x14ac:dyDescent="0.3">
      <c r="A5" s="10"/>
      <c r="B5" s="332" t="s">
        <v>452</v>
      </c>
      <c r="C5" s="332"/>
      <c r="D5" s="332"/>
      <c r="E5" s="332"/>
      <c r="F5" s="332"/>
      <c r="G5" s="332"/>
      <c r="H5" s="332"/>
      <c r="I5" s="332"/>
    </row>
    <row r="6" spans="1:66" ht="152.25" customHeight="1" x14ac:dyDescent="0.3">
      <c r="A6" s="332" t="s">
        <v>453</v>
      </c>
      <c r="B6" s="332"/>
      <c r="C6" s="332"/>
      <c r="D6" s="332"/>
      <c r="E6" s="332"/>
      <c r="F6" s="332"/>
      <c r="G6" s="332"/>
      <c r="H6" s="332"/>
      <c r="I6" s="332"/>
    </row>
    <row r="7" spans="1:66" ht="47.25" customHeight="1" x14ac:dyDescent="0.3">
      <c r="A7" s="329" t="s">
        <v>35</v>
      </c>
      <c r="B7" s="329"/>
      <c r="C7" s="329"/>
      <c r="D7" s="329"/>
      <c r="E7" s="329"/>
      <c r="F7" s="329"/>
      <c r="G7" s="329"/>
      <c r="H7" s="7" t="s">
        <v>51</v>
      </c>
      <c r="I7" s="6"/>
    </row>
    <row r="8" spans="1:66" ht="45.75" customHeight="1" x14ac:dyDescent="0.3">
      <c r="A8" s="8"/>
      <c r="B8" s="329" t="s">
        <v>36</v>
      </c>
      <c r="C8" s="329"/>
      <c r="D8" s="329"/>
      <c r="E8" s="329"/>
      <c r="F8" s="329"/>
      <c r="G8" s="329"/>
      <c r="H8" s="8" t="s">
        <v>67</v>
      </c>
      <c r="I8" s="6"/>
    </row>
    <row r="9" spans="1:66" ht="14.25" customHeight="1" x14ac:dyDescent="0.3">
      <c r="A9" s="6"/>
      <c r="B9" s="110"/>
      <c r="C9" s="6"/>
      <c r="D9" s="6"/>
      <c r="E9" s="6"/>
      <c r="F9" s="6"/>
      <c r="G9" s="6"/>
      <c r="H9" s="6"/>
      <c r="I9" s="6"/>
    </row>
    <row r="10" spans="1:66" ht="28.5" customHeight="1" x14ac:dyDescent="0.3">
      <c r="A10" s="329" t="s">
        <v>6</v>
      </c>
      <c r="B10" s="329"/>
      <c r="C10" s="329"/>
      <c r="D10" s="329"/>
      <c r="E10" s="329"/>
      <c r="F10" s="329"/>
      <c r="G10" s="329"/>
      <c r="H10" s="329"/>
      <c r="I10" s="329"/>
    </row>
    <row r="11" spans="1:66" x14ac:dyDescent="0.3">
      <c r="A11" s="61"/>
      <c r="B11" s="62"/>
      <c r="C11" s="61"/>
      <c r="D11" s="61"/>
      <c r="E11" s="61"/>
      <c r="F11" s="61"/>
      <c r="G11" s="61"/>
      <c r="H11" s="61"/>
      <c r="I11" s="61"/>
    </row>
    <row r="13" spans="1:66" s="111" customFormat="1" ht="40.5" customHeight="1" x14ac:dyDescent="0.25">
      <c r="A13" s="321" t="s">
        <v>1</v>
      </c>
      <c r="B13" s="321" t="s">
        <v>42</v>
      </c>
      <c r="C13" s="324" t="s">
        <v>2</v>
      </c>
      <c r="D13" s="324" t="s">
        <v>43</v>
      </c>
      <c r="E13" s="324"/>
      <c r="F13" s="324"/>
      <c r="G13" s="324"/>
      <c r="H13" s="324" t="s">
        <v>16</v>
      </c>
      <c r="I13" s="330" t="s">
        <v>3</v>
      </c>
      <c r="J13" s="320" t="s">
        <v>301</v>
      </c>
      <c r="K13" s="320"/>
      <c r="L13" s="320"/>
      <c r="M13" s="320"/>
      <c r="N13" s="320"/>
      <c r="O13" s="320"/>
      <c r="P13" s="320"/>
      <c r="Q13" s="320"/>
      <c r="R13" s="326" t="s">
        <v>300</v>
      </c>
      <c r="S13" s="327"/>
      <c r="T13" s="327"/>
      <c r="U13" s="327"/>
      <c r="V13" s="327"/>
      <c r="W13" s="327"/>
      <c r="X13" s="327"/>
      <c r="Y13" s="327"/>
      <c r="Z13" s="327"/>
      <c r="AA13" s="327"/>
      <c r="AB13" s="327"/>
      <c r="AC13" s="327"/>
      <c r="AD13" s="327"/>
      <c r="AE13" s="327"/>
      <c r="AF13" s="327"/>
      <c r="AG13" s="328"/>
      <c r="AH13" s="326" t="s">
        <v>366</v>
      </c>
      <c r="AI13" s="327"/>
      <c r="AJ13" s="327"/>
      <c r="AK13" s="327"/>
      <c r="AL13" s="327"/>
      <c r="AM13" s="327"/>
      <c r="AN13" s="327"/>
      <c r="AO13" s="327"/>
      <c r="AP13" s="327"/>
      <c r="AQ13" s="327"/>
      <c r="AR13" s="327"/>
      <c r="AS13" s="327"/>
      <c r="AT13" s="327"/>
      <c r="AU13" s="327"/>
      <c r="AV13" s="327"/>
      <c r="AW13" s="328"/>
      <c r="AX13" s="326" t="s">
        <v>414</v>
      </c>
      <c r="AY13" s="327"/>
      <c r="AZ13" s="327"/>
      <c r="BA13" s="327"/>
      <c r="BB13" s="327"/>
      <c r="BC13" s="327"/>
      <c r="BD13" s="327"/>
      <c r="BE13" s="327"/>
      <c r="BF13" s="327"/>
      <c r="BG13" s="327"/>
      <c r="BH13" s="327"/>
      <c r="BI13" s="327"/>
      <c r="BJ13" s="327"/>
      <c r="BK13" s="327"/>
      <c r="BL13" s="327"/>
      <c r="BM13" s="328"/>
      <c r="BN13" s="324" t="s">
        <v>288</v>
      </c>
    </row>
    <row r="14" spans="1:66" s="111" customFormat="1" ht="40.5" customHeight="1" x14ac:dyDescent="0.25">
      <c r="A14" s="322"/>
      <c r="B14" s="322"/>
      <c r="C14" s="324"/>
      <c r="D14" s="321" t="s">
        <v>7</v>
      </c>
      <c r="E14" s="321" t="s">
        <v>12</v>
      </c>
      <c r="F14" s="321" t="s">
        <v>40</v>
      </c>
      <c r="G14" s="321" t="s">
        <v>41</v>
      </c>
      <c r="H14" s="324"/>
      <c r="I14" s="330"/>
      <c r="J14" s="320" t="s">
        <v>285</v>
      </c>
      <c r="K14" s="320"/>
      <c r="L14" s="320" t="s">
        <v>286</v>
      </c>
      <c r="M14" s="320"/>
      <c r="N14" s="320" t="s">
        <v>287</v>
      </c>
      <c r="O14" s="320"/>
      <c r="P14" s="320" t="s">
        <v>13</v>
      </c>
      <c r="Q14" s="320"/>
      <c r="R14" s="320" t="s">
        <v>297</v>
      </c>
      <c r="S14" s="320"/>
      <c r="T14" s="320"/>
      <c r="U14" s="320"/>
      <c r="V14" s="320" t="s">
        <v>298</v>
      </c>
      <c r="W14" s="320"/>
      <c r="X14" s="320"/>
      <c r="Y14" s="320"/>
      <c r="Z14" s="320" t="s">
        <v>299</v>
      </c>
      <c r="AA14" s="320"/>
      <c r="AB14" s="320"/>
      <c r="AC14" s="320"/>
      <c r="AD14" s="320" t="s">
        <v>13</v>
      </c>
      <c r="AE14" s="320"/>
      <c r="AF14" s="320"/>
      <c r="AG14" s="320"/>
      <c r="AH14" s="326" t="s">
        <v>363</v>
      </c>
      <c r="AI14" s="327"/>
      <c r="AJ14" s="327"/>
      <c r="AK14" s="328"/>
      <c r="AL14" s="326" t="s">
        <v>364</v>
      </c>
      <c r="AM14" s="327"/>
      <c r="AN14" s="327"/>
      <c r="AO14" s="328"/>
      <c r="AP14" s="326" t="s">
        <v>365</v>
      </c>
      <c r="AQ14" s="327"/>
      <c r="AR14" s="327"/>
      <c r="AS14" s="328"/>
      <c r="AT14" s="326" t="s">
        <v>13</v>
      </c>
      <c r="AU14" s="327"/>
      <c r="AV14" s="327"/>
      <c r="AW14" s="328"/>
      <c r="AX14" s="320" t="s">
        <v>415</v>
      </c>
      <c r="AY14" s="320"/>
      <c r="AZ14" s="320"/>
      <c r="BA14" s="320"/>
      <c r="BB14" s="320" t="s">
        <v>416</v>
      </c>
      <c r="BC14" s="320"/>
      <c r="BD14" s="320"/>
      <c r="BE14" s="320"/>
      <c r="BF14" s="320" t="s">
        <v>417</v>
      </c>
      <c r="BG14" s="320"/>
      <c r="BH14" s="320"/>
      <c r="BI14" s="320"/>
      <c r="BJ14" s="320" t="s">
        <v>13</v>
      </c>
      <c r="BK14" s="320"/>
      <c r="BL14" s="320"/>
      <c r="BM14" s="320"/>
      <c r="BN14" s="324"/>
    </row>
    <row r="15" spans="1:66" s="111" customFormat="1" ht="60.75" customHeight="1" x14ac:dyDescent="0.25">
      <c r="A15" s="323"/>
      <c r="B15" s="323"/>
      <c r="C15" s="324"/>
      <c r="D15" s="323"/>
      <c r="E15" s="323"/>
      <c r="F15" s="323"/>
      <c r="G15" s="323"/>
      <c r="H15" s="324"/>
      <c r="I15" s="330"/>
      <c r="J15" s="94" t="s">
        <v>7</v>
      </c>
      <c r="K15" s="94" t="s">
        <v>12</v>
      </c>
      <c r="L15" s="94" t="s">
        <v>7</v>
      </c>
      <c r="M15" s="94" t="s">
        <v>12</v>
      </c>
      <c r="N15" s="94" t="s">
        <v>7</v>
      </c>
      <c r="O15" s="94" t="s">
        <v>12</v>
      </c>
      <c r="P15" s="94" t="s">
        <v>7</v>
      </c>
      <c r="Q15" s="94" t="s">
        <v>12</v>
      </c>
      <c r="R15" s="94" t="s">
        <v>7</v>
      </c>
      <c r="S15" s="94" t="s">
        <v>12</v>
      </c>
      <c r="T15" s="94" t="s">
        <v>40</v>
      </c>
      <c r="U15" s="94" t="s">
        <v>41</v>
      </c>
      <c r="V15" s="94" t="s">
        <v>7</v>
      </c>
      <c r="W15" s="94" t="s">
        <v>12</v>
      </c>
      <c r="X15" s="94" t="s">
        <v>40</v>
      </c>
      <c r="Y15" s="94" t="s">
        <v>41</v>
      </c>
      <c r="Z15" s="94" t="s">
        <v>7</v>
      </c>
      <c r="AA15" s="94" t="s">
        <v>12</v>
      </c>
      <c r="AB15" s="94" t="s">
        <v>40</v>
      </c>
      <c r="AC15" s="94" t="s">
        <v>41</v>
      </c>
      <c r="AD15" s="94" t="s">
        <v>7</v>
      </c>
      <c r="AE15" s="94" t="s">
        <v>12</v>
      </c>
      <c r="AF15" s="94" t="s">
        <v>40</v>
      </c>
      <c r="AG15" s="94" t="s">
        <v>41</v>
      </c>
      <c r="AH15" s="94" t="s">
        <v>7</v>
      </c>
      <c r="AI15" s="94" t="s">
        <v>12</v>
      </c>
      <c r="AJ15" s="94" t="s">
        <v>40</v>
      </c>
      <c r="AK15" s="94" t="s">
        <v>41</v>
      </c>
      <c r="AL15" s="94" t="s">
        <v>7</v>
      </c>
      <c r="AM15" s="94" t="s">
        <v>12</v>
      </c>
      <c r="AN15" s="94" t="s">
        <v>40</v>
      </c>
      <c r="AO15" s="94" t="s">
        <v>41</v>
      </c>
      <c r="AP15" s="94" t="s">
        <v>7</v>
      </c>
      <c r="AQ15" s="94" t="s">
        <v>12</v>
      </c>
      <c r="AR15" s="94" t="s">
        <v>40</v>
      </c>
      <c r="AS15" s="94" t="s">
        <v>41</v>
      </c>
      <c r="AT15" s="94" t="s">
        <v>7</v>
      </c>
      <c r="AU15" s="94" t="s">
        <v>12</v>
      </c>
      <c r="AV15" s="94" t="s">
        <v>40</v>
      </c>
      <c r="AW15" s="94" t="s">
        <v>41</v>
      </c>
      <c r="AX15" s="94" t="s">
        <v>7</v>
      </c>
      <c r="AY15" s="94" t="s">
        <v>12</v>
      </c>
      <c r="AZ15" s="94" t="s">
        <v>40</v>
      </c>
      <c r="BA15" s="94" t="s">
        <v>41</v>
      </c>
      <c r="BB15" s="94" t="s">
        <v>7</v>
      </c>
      <c r="BC15" s="94" t="s">
        <v>12</v>
      </c>
      <c r="BD15" s="94" t="s">
        <v>40</v>
      </c>
      <c r="BE15" s="94" t="s">
        <v>41</v>
      </c>
      <c r="BF15" s="94" t="s">
        <v>7</v>
      </c>
      <c r="BG15" s="94" t="s">
        <v>12</v>
      </c>
      <c r="BH15" s="94" t="s">
        <v>40</v>
      </c>
      <c r="BI15" s="94" t="s">
        <v>41</v>
      </c>
      <c r="BJ15" s="94" t="s">
        <v>7</v>
      </c>
      <c r="BK15" s="94" t="s">
        <v>12</v>
      </c>
      <c r="BL15" s="94" t="s">
        <v>40</v>
      </c>
      <c r="BM15" s="94" t="s">
        <v>41</v>
      </c>
      <c r="BN15" s="324"/>
    </row>
    <row r="16" spans="1:66" s="114" customFormat="1" ht="67.5" customHeight="1" x14ac:dyDescent="0.35">
      <c r="A16" s="96">
        <v>1</v>
      </c>
      <c r="B16" s="86" t="s">
        <v>22</v>
      </c>
      <c r="C16" s="97">
        <f t="shared" ref="C16:C39" si="0">D16+E16+F16+G16</f>
        <v>238441</v>
      </c>
      <c r="D16" s="97">
        <f>218000+20441</f>
        <v>238441</v>
      </c>
      <c r="E16" s="97"/>
      <c r="F16" s="97"/>
      <c r="G16" s="97"/>
      <c r="H16" s="86" t="s">
        <v>45</v>
      </c>
      <c r="I16" s="102" t="s">
        <v>46</v>
      </c>
      <c r="J16" s="83">
        <v>19930</v>
      </c>
      <c r="K16" s="112"/>
      <c r="L16" s="83">
        <v>19930</v>
      </c>
      <c r="M16" s="112"/>
      <c r="N16" s="83">
        <v>19930</v>
      </c>
      <c r="O16" s="112"/>
      <c r="P16" s="113">
        <f>J16+L16+N16</f>
        <v>59790</v>
      </c>
      <c r="Q16" s="113">
        <f>+K16+M16+O16</f>
        <v>0</v>
      </c>
      <c r="R16" s="84">
        <v>19930</v>
      </c>
      <c r="S16" s="113"/>
      <c r="T16" s="113"/>
      <c r="U16" s="113"/>
      <c r="V16" s="84">
        <v>20749</v>
      </c>
      <c r="W16" s="113"/>
      <c r="X16" s="113"/>
      <c r="Y16" s="113"/>
      <c r="Z16" s="84">
        <v>19930</v>
      </c>
      <c r="AA16" s="113"/>
      <c r="AB16" s="113"/>
      <c r="AC16" s="113"/>
      <c r="AD16" s="113">
        <f>R16+V16+Z16</f>
        <v>60609</v>
      </c>
      <c r="AE16" s="113">
        <f>S16+W16+AA16</f>
        <v>0</v>
      </c>
      <c r="AF16" s="113">
        <f>T16+X16+AB16</f>
        <v>0</v>
      </c>
      <c r="AG16" s="113">
        <f>U16+Y16+AC16</f>
        <v>0</v>
      </c>
      <c r="AH16" s="84">
        <v>28807.149999999994</v>
      </c>
      <c r="AI16" s="113"/>
      <c r="AJ16" s="113"/>
      <c r="AK16" s="113"/>
      <c r="AL16" s="84">
        <v>11665.790000000008</v>
      </c>
      <c r="AM16" s="113"/>
      <c r="AN16" s="113"/>
      <c r="AO16" s="113"/>
      <c r="AP16" s="84">
        <v>18760</v>
      </c>
      <c r="AQ16" s="113"/>
      <c r="AR16" s="113"/>
      <c r="AS16" s="113"/>
      <c r="AT16" s="113">
        <f>AH16+AL16+AP16</f>
        <v>59232.94</v>
      </c>
      <c r="AU16" s="113">
        <f>AI16+AM16+AQ16</f>
        <v>0</v>
      </c>
      <c r="AV16" s="113">
        <f>AJ16+AN16+AR16</f>
        <v>0</v>
      </c>
      <c r="AW16" s="113">
        <f>AK16+AO16+AS16</f>
        <v>0</v>
      </c>
      <c r="AX16" s="85">
        <v>18760</v>
      </c>
      <c r="AY16" s="113"/>
      <c r="AZ16" s="113"/>
      <c r="BA16" s="113"/>
      <c r="BB16" s="84">
        <v>18760</v>
      </c>
      <c r="BC16" s="113"/>
      <c r="BD16" s="113"/>
      <c r="BE16" s="113"/>
      <c r="BF16" s="84">
        <v>18760</v>
      </c>
      <c r="BG16" s="113"/>
      <c r="BH16" s="113"/>
      <c r="BI16" s="113"/>
      <c r="BJ16" s="113">
        <f>AX16+BB16+BF16</f>
        <v>56280</v>
      </c>
      <c r="BK16" s="113">
        <f>AY16+BC16+BG16</f>
        <v>0</v>
      </c>
      <c r="BL16" s="113">
        <f>AZ16+BD16+BH16</f>
        <v>0</v>
      </c>
      <c r="BM16" s="113">
        <f>BA16+BE16+BI16</f>
        <v>0</v>
      </c>
      <c r="BN16" s="334" t="s">
        <v>289</v>
      </c>
    </row>
    <row r="17" spans="1:66" s="114" customFormat="1" ht="54.75" customHeight="1" x14ac:dyDescent="0.35">
      <c r="A17" s="96">
        <v>2</v>
      </c>
      <c r="B17" s="86" t="s">
        <v>23</v>
      </c>
      <c r="C17" s="97">
        <f t="shared" si="0"/>
        <v>1309375</v>
      </c>
      <c r="D17" s="101">
        <f>1313400+111900-100000-15925</f>
        <v>1309375</v>
      </c>
      <c r="E17" s="115"/>
      <c r="F17" s="115"/>
      <c r="G17" s="116"/>
      <c r="H17" s="86" t="s">
        <v>45</v>
      </c>
      <c r="I17" s="102" t="s">
        <v>46</v>
      </c>
      <c r="J17" s="83">
        <v>96735</v>
      </c>
      <c r="K17" s="112"/>
      <c r="L17" s="83">
        <v>96735</v>
      </c>
      <c r="M17" s="112"/>
      <c r="N17" s="83">
        <v>104079.67999999999</v>
      </c>
      <c r="O17" s="112"/>
      <c r="P17" s="113">
        <f t="shared" ref="P17:P25" si="1">J17+L17+N17</f>
        <v>297549.68</v>
      </c>
      <c r="Q17" s="113">
        <f t="shared" ref="Q17:Q25" si="2">+K17+M17+O17</f>
        <v>0</v>
      </c>
      <c r="R17" s="84">
        <v>95525</v>
      </c>
      <c r="S17" s="113"/>
      <c r="T17" s="113"/>
      <c r="U17" s="113"/>
      <c r="V17" s="84">
        <v>95525</v>
      </c>
      <c r="W17" s="113"/>
      <c r="X17" s="113"/>
      <c r="Y17" s="113"/>
      <c r="Z17" s="84">
        <v>95524.999999999942</v>
      </c>
      <c r="AA17" s="113"/>
      <c r="AB17" s="113"/>
      <c r="AC17" s="113"/>
      <c r="AD17" s="113">
        <f t="shared" ref="AD17:AD33" si="3">R17+V17+Z17</f>
        <v>286574.99999999994</v>
      </c>
      <c r="AE17" s="113">
        <f t="shared" ref="AE17:AE33" si="4">S17+W17+AA17</f>
        <v>0</v>
      </c>
      <c r="AF17" s="113">
        <f t="shared" ref="AF17:AF33" si="5">T17+X17+AB17</f>
        <v>0</v>
      </c>
      <c r="AG17" s="113">
        <f t="shared" ref="AG17:AG33" si="6">U17+Y17+AC17</f>
        <v>0</v>
      </c>
      <c r="AH17" s="84">
        <v>195366.97999999998</v>
      </c>
      <c r="AI17" s="113"/>
      <c r="AJ17" s="113"/>
      <c r="AK17" s="113"/>
      <c r="AL17" s="84">
        <v>2079.609999999986</v>
      </c>
      <c r="AM17" s="113"/>
      <c r="AN17" s="113"/>
      <c r="AO17" s="113"/>
      <c r="AP17" s="84">
        <v>90977.009999999951</v>
      </c>
      <c r="AQ17" s="113"/>
      <c r="AR17" s="113"/>
      <c r="AS17" s="113"/>
      <c r="AT17" s="113">
        <f t="shared" ref="AT17:AT39" si="7">AH17+AL17+AP17</f>
        <v>288423.59999999992</v>
      </c>
      <c r="AU17" s="113">
        <f t="shared" ref="AU17:AU39" si="8">AI17+AM17+AQ17</f>
        <v>0</v>
      </c>
      <c r="AV17" s="113">
        <f t="shared" ref="AV17:AV39" si="9">AJ17+AN17+AR17</f>
        <v>0</v>
      </c>
      <c r="AW17" s="113">
        <f t="shared" ref="AW17:AW39" si="10">AK17+AO17+AS17</f>
        <v>0</v>
      </c>
      <c r="AX17" s="85">
        <v>101434.19000000018</v>
      </c>
      <c r="AY17" s="113"/>
      <c r="AZ17" s="113"/>
      <c r="BA17" s="113"/>
      <c r="BB17" s="84">
        <v>106117.05000000005</v>
      </c>
      <c r="BC17" s="113"/>
      <c r="BD17" s="113"/>
      <c r="BE17" s="113"/>
      <c r="BF17" s="84">
        <v>104178.9499999999</v>
      </c>
      <c r="BG17" s="113"/>
      <c r="BH17" s="113"/>
      <c r="BI17" s="113"/>
      <c r="BJ17" s="113">
        <f t="shared" ref="BJ17:BJ39" si="11">AX17+BB17+BF17</f>
        <v>311730.19000000012</v>
      </c>
      <c r="BK17" s="113">
        <f t="shared" ref="BK17:BK39" si="12">AY17+BC17+BG17</f>
        <v>0</v>
      </c>
      <c r="BL17" s="113">
        <f t="shared" ref="BL17:BL39" si="13">AZ17+BD17+BH17</f>
        <v>0</v>
      </c>
      <c r="BM17" s="113">
        <f t="shared" ref="BM17:BM39" si="14">BA17+BE17+BI17</f>
        <v>0</v>
      </c>
      <c r="BN17" s="335"/>
    </row>
    <row r="18" spans="1:66" s="114" customFormat="1" ht="54.75" customHeight="1" x14ac:dyDescent="0.35">
      <c r="A18" s="96">
        <v>3</v>
      </c>
      <c r="B18" s="102" t="s">
        <v>74</v>
      </c>
      <c r="C18" s="97">
        <f t="shared" si="0"/>
        <v>387190</v>
      </c>
      <c r="D18" s="101">
        <f>271265+100000+15925</f>
        <v>387190</v>
      </c>
      <c r="E18" s="115"/>
      <c r="F18" s="115"/>
      <c r="G18" s="116"/>
      <c r="H18" s="86" t="s">
        <v>45</v>
      </c>
      <c r="I18" s="102" t="s">
        <v>46</v>
      </c>
      <c r="J18" s="83">
        <v>5667</v>
      </c>
      <c r="K18" s="112"/>
      <c r="L18" s="83">
        <v>8280</v>
      </c>
      <c r="M18" s="112"/>
      <c r="N18" s="83">
        <v>13887</v>
      </c>
      <c r="O18" s="112"/>
      <c r="P18" s="113">
        <f t="shared" si="1"/>
        <v>27834</v>
      </c>
      <c r="Q18" s="113">
        <f t="shared" si="2"/>
        <v>0</v>
      </c>
      <c r="R18" s="84">
        <v>780</v>
      </c>
      <c r="S18" s="113"/>
      <c r="T18" s="113"/>
      <c r="U18" s="113"/>
      <c r="V18" s="84">
        <v>18365</v>
      </c>
      <c r="W18" s="113"/>
      <c r="X18" s="113"/>
      <c r="Y18" s="113"/>
      <c r="Z18" s="84">
        <v>129205</v>
      </c>
      <c r="AA18" s="113"/>
      <c r="AB18" s="113"/>
      <c r="AC18" s="113"/>
      <c r="AD18" s="113">
        <f t="shared" si="3"/>
        <v>148350</v>
      </c>
      <c r="AE18" s="113">
        <f t="shared" si="4"/>
        <v>0</v>
      </c>
      <c r="AF18" s="113">
        <f t="shared" si="5"/>
        <v>0</v>
      </c>
      <c r="AG18" s="113">
        <f t="shared" si="6"/>
        <v>0</v>
      </c>
      <c r="AH18" s="84">
        <v>72070</v>
      </c>
      <c r="AI18" s="113"/>
      <c r="AJ18" s="113"/>
      <c r="AK18" s="113"/>
      <c r="AL18" s="113"/>
      <c r="AM18" s="113"/>
      <c r="AN18" s="113"/>
      <c r="AO18" s="113"/>
      <c r="AP18" s="113"/>
      <c r="AQ18" s="113"/>
      <c r="AR18" s="113"/>
      <c r="AS18" s="113"/>
      <c r="AT18" s="113">
        <f t="shared" si="7"/>
        <v>72070</v>
      </c>
      <c r="AU18" s="113">
        <f t="shared" si="8"/>
        <v>0</v>
      </c>
      <c r="AV18" s="113">
        <f t="shared" si="9"/>
        <v>0</v>
      </c>
      <c r="AW18" s="113">
        <f t="shared" si="10"/>
        <v>0</v>
      </c>
      <c r="AX18" s="85">
        <v>1365</v>
      </c>
      <c r="AY18" s="113"/>
      <c r="AZ18" s="113"/>
      <c r="BA18" s="113"/>
      <c r="BB18" s="84">
        <v>0</v>
      </c>
      <c r="BC18" s="113"/>
      <c r="BD18" s="113"/>
      <c r="BE18" s="113"/>
      <c r="BF18" s="84">
        <v>137571</v>
      </c>
      <c r="BG18" s="113"/>
      <c r="BH18" s="113"/>
      <c r="BI18" s="113"/>
      <c r="BJ18" s="113">
        <f t="shared" si="11"/>
        <v>138936</v>
      </c>
      <c r="BK18" s="113">
        <f t="shared" si="12"/>
        <v>0</v>
      </c>
      <c r="BL18" s="113">
        <f t="shared" si="13"/>
        <v>0</v>
      </c>
      <c r="BM18" s="113">
        <f t="shared" si="14"/>
        <v>0</v>
      </c>
      <c r="BN18" s="335"/>
    </row>
    <row r="19" spans="1:66" s="114" customFormat="1" ht="54.75" customHeight="1" x14ac:dyDescent="0.35">
      <c r="A19" s="96">
        <v>4</v>
      </c>
      <c r="B19" s="102" t="s">
        <v>68</v>
      </c>
      <c r="C19" s="97">
        <f t="shared" si="0"/>
        <v>97792</v>
      </c>
      <c r="D19" s="101">
        <f>12720+28000+1000+3000+17000+800+4000+1272+30000</f>
        <v>97792</v>
      </c>
      <c r="E19" s="115"/>
      <c r="F19" s="115"/>
      <c r="G19" s="116"/>
      <c r="H19" s="86" t="s">
        <v>45</v>
      </c>
      <c r="I19" s="102" t="s">
        <v>46</v>
      </c>
      <c r="J19" s="83">
        <v>1060</v>
      </c>
      <c r="K19" s="112"/>
      <c r="L19" s="83">
        <v>1060</v>
      </c>
      <c r="M19" s="112"/>
      <c r="N19" s="83">
        <v>1060</v>
      </c>
      <c r="O19" s="112"/>
      <c r="P19" s="113">
        <f t="shared" si="1"/>
        <v>3180</v>
      </c>
      <c r="Q19" s="113">
        <f t="shared" si="2"/>
        <v>0</v>
      </c>
      <c r="R19" s="84">
        <v>1060</v>
      </c>
      <c r="S19" s="113"/>
      <c r="T19" s="113"/>
      <c r="U19" s="113"/>
      <c r="V19" s="84">
        <v>1060</v>
      </c>
      <c r="W19" s="113"/>
      <c r="X19" s="113"/>
      <c r="Y19" s="113"/>
      <c r="Z19" s="84">
        <v>1060</v>
      </c>
      <c r="AA19" s="113"/>
      <c r="AB19" s="113"/>
      <c r="AC19" s="113"/>
      <c r="AD19" s="113">
        <f t="shared" si="3"/>
        <v>3180</v>
      </c>
      <c r="AE19" s="113">
        <f t="shared" si="4"/>
        <v>0</v>
      </c>
      <c r="AF19" s="113">
        <f t="shared" si="5"/>
        <v>0</v>
      </c>
      <c r="AG19" s="113">
        <f t="shared" si="6"/>
        <v>0</v>
      </c>
      <c r="AH19" s="113"/>
      <c r="AI19" s="113"/>
      <c r="AJ19" s="113"/>
      <c r="AK19" s="113"/>
      <c r="AL19" s="113"/>
      <c r="AM19" s="113"/>
      <c r="AN19" s="113"/>
      <c r="AO19" s="113"/>
      <c r="AP19" s="84">
        <v>1060</v>
      </c>
      <c r="AQ19" s="113"/>
      <c r="AR19" s="113"/>
      <c r="AS19" s="113"/>
      <c r="AT19" s="113">
        <f t="shared" si="7"/>
        <v>1060</v>
      </c>
      <c r="AU19" s="113">
        <f t="shared" si="8"/>
        <v>0</v>
      </c>
      <c r="AV19" s="113">
        <f t="shared" si="9"/>
        <v>0</v>
      </c>
      <c r="AW19" s="113">
        <f t="shared" si="10"/>
        <v>0</v>
      </c>
      <c r="AX19" s="85">
        <v>1918.1000000000004</v>
      </c>
      <c r="AY19" s="113"/>
      <c r="AZ19" s="113"/>
      <c r="BA19" s="113"/>
      <c r="BB19" s="84">
        <v>201.89999999999964</v>
      </c>
      <c r="BC19" s="113"/>
      <c r="BD19" s="113"/>
      <c r="BE19" s="113"/>
      <c r="BF19" s="84">
        <v>1060</v>
      </c>
      <c r="BG19" s="113"/>
      <c r="BH19" s="113"/>
      <c r="BI19" s="113"/>
      <c r="BJ19" s="113">
        <f t="shared" si="11"/>
        <v>3180</v>
      </c>
      <c r="BK19" s="113">
        <f t="shared" si="12"/>
        <v>0</v>
      </c>
      <c r="BL19" s="113">
        <f t="shared" si="13"/>
        <v>0</v>
      </c>
      <c r="BM19" s="113">
        <f t="shared" si="14"/>
        <v>0</v>
      </c>
      <c r="BN19" s="336"/>
    </row>
    <row r="20" spans="1:66" s="114" customFormat="1" ht="54.75" customHeight="1" x14ac:dyDescent="0.35">
      <c r="A20" s="96">
        <v>5</v>
      </c>
      <c r="B20" s="102" t="s">
        <v>14</v>
      </c>
      <c r="C20" s="97">
        <f t="shared" si="0"/>
        <v>10000</v>
      </c>
      <c r="D20" s="101">
        <v>10000</v>
      </c>
      <c r="E20" s="115"/>
      <c r="F20" s="115"/>
      <c r="G20" s="116"/>
      <c r="H20" s="86" t="s">
        <v>75</v>
      </c>
      <c r="I20" s="102" t="s">
        <v>46</v>
      </c>
      <c r="J20" s="112"/>
      <c r="K20" s="112"/>
      <c r="L20" s="112"/>
      <c r="M20" s="112"/>
      <c r="N20" s="112"/>
      <c r="O20" s="112"/>
      <c r="P20" s="113">
        <f t="shared" si="1"/>
        <v>0</v>
      </c>
      <c r="Q20" s="113">
        <f t="shared" si="2"/>
        <v>0</v>
      </c>
      <c r="R20" s="113"/>
      <c r="S20" s="113"/>
      <c r="T20" s="113"/>
      <c r="U20" s="113"/>
      <c r="V20" s="113"/>
      <c r="W20" s="113"/>
      <c r="X20" s="113"/>
      <c r="Y20" s="113"/>
      <c r="Z20" s="84"/>
      <c r="AA20" s="113"/>
      <c r="AB20" s="113"/>
      <c r="AC20" s="113"/>
      <c r="AD20" s="113">
        <f t="shared" si="3"/>
        <v>0</v>
      </c>
      <c r="AE20" s="113">
        <f t="shared" si="4"/>
        <v>0</v>
      </c>
      <c r="AF20" s="113">
        <f t="shared" si="5"/>
        <v>0</v>
      </c>
      <c r="AG20" s="113">
        <f t="shared" si="6"/>
        <v>0</v>
      </c>
      <c r="AH20" s="84">
        <v>773</v>
      </c>
      <c r="AI20" s="113"/>
      <c r="AJ20" s="113"/>
      <c r="AK20" s="113"/>
      <c r="AL20" s="113"/>
      <c r="AM20" s="113"/>
      <c r="AN20" s="113"/>
      <c r="AO20" s="113"/>
      <c r="AP20" s="113"/>
      <c r="AQ20" s="113"/>
      <c r="AR20" s="113"/>
      <c r="AS20" s="113"/>
      <c r="AT20" s="113">
        <f t="shared" si="7"/>
        <v>773</v>
      </c>
      <c r="AU20" s="113">
        <f t="shared" si="8"/>
        <v>0</v>
      </c>
      <c r="AV20" s="113">
        <f t="shared" si="9"/>
        <v>0</v>
      </c>
      <c r="AW20" s="113">
        <f t="shared" si="10"/>
        <v>0</v>
      </c>
      <c r="AX20" s="85">
        <v>228.29999999999995</v>
      </c>
      <c r="AY20" s="113"/>
      <c r="AZ20" s="113"/>
      <c r="BA20" s="113"/>
      <c r="BB20" s="84">
        <v>0</v>
      </c>
      <c r="BC20" s="113"/>
      <c r="BD20" s="113"/>
      <c r="BE20" s="113"/>
      <c r="BF20" s="84">
        <v>0</v>
      </c>
      <c r="BG20" s="113"/>
      <c r="BH20" s="113"/>
      <c r="BI20" s="113"/>
      <c r="BJ20" s="113">
        <f t="shared" si="11"/>
        <v>228.29999999999995</v>
      </c>
      <c r="BK20" s="113">
        <f t="shared" si="12"/>
        <v>0</v>
      </c>
      <c r="BL20" s="113">
        <f t="shared" si="13"/>
        <v>0</v>
      </c>
      <c r="BM20" s="113">
        <f t="shared" si="14"/>
        <v>0</v>
      </c>
      <c r="BN20" s="86" t="s">
        <v>342</v>
      </c>
    </row>
    <row r="21" spans="1:66" s="114" customFormat="1" ht="159.75" customHeight="1" x14ac:dyDescent="0.35">
      <c r="A21" s="96">
        <v>6</v>
      </c>
      <c r="B21" s="86" t="s">
        <v>48</v>
      </c>
      <c r="C21" s="97">
        <f t="shared" si="0"/>
        <v>10000</v>
      </c>
      <c r="D21" s="101">
        <v>10000</v>
      </c>
      <c r="E21" s="115"/>
      <c r="F21" s="115"/>
      <c r="G21" s="116"/>
      <c r="H21" s="86" t="s">
        <v>47</v>
      </c>
      <c r="I21" s="102" t="s">
        <v>24</v>
      </c>
      <c r="J21" s="112"/>
      <c r="K21" s="112"/>
      <c r="L21" s="112"/>
      <c r="M21" s="112"/>
      <c r="N21" s="83">
        <v>2000</v>
      </c>
      <c r="O21" s="112"/>
      <c r="P21" s="113">
        <f t="shared" si="1"/>
        <v>2000</v>
      </c>
      <c r="Q21" s="113">
        <f t="shared" si="2"/>
        <v>0</v>
      </c>
      <c r="R21" s="113"/>
      <c r="S21" s="113"/>
      <c r="T21" s="113"/>
      <c r="U21" s="113"/>
      <c r="V21" s="84">
        <v>2000</v>
      </c>
      <c r="W21" s="113"/>
      <c r="X21" s="113"/>
      <c r="Y21" s="113"/>
      <c r="Z21" s="113"/>
      <c r="AA21" s="113"/>
      <c r="AB21" s="113"/>
      <c r="AC21" s="113"/>
      <c r="AD21" s="113">
        <f t="shared" si="3"/>
        <v>2000</v>
      </c>
      <c r="AE21" s="113">
        <f t="shared" si="4"/>
        <v>0</v>
      </c>
      <c r="AF21" s="113">
        <f t="shared" si="5"/>
        <v>0</v>
      </c>
      <c r="AG21" s="113">
        <f t="shared" si="6"/>
        <v>0</v>
      </c>
      <c r="AH21" s="84">
        <v>2000</v>
      </c>
      <c r="AI21" s="113"/>
      <c r="AJ21" s="113"/>
      <c r="AK21" s="113"/>
      <c r="AL21" s="113"/>
      <c r="AM21" s="113"/>
      <c r="AN21" s="113"/>
      <c r="AO21" s="113"/>
      <c r="AP21" s="113"/>
      <c r="AQ21" s="113"/>
      <c r="AR21" s="113"/>
      <c r="AS21" s="113"/>
      <c r="AT21" s="113">
        <f t="shared" si="7"/>
        <v>2000</v>
      </c>
      <c r="AU21" s="113">
        <f t="shared" si="8"/>
        <v>0</v>
      </c>
      <c r="AV21" s="113">
        <f t="shared" si="9"/>
        <v>0</v>
      </c>
      <c r="AW21" s="113">
        <f t="shared" si="10"/>
        <v>0</v>
      </c>
      <c r="AX21" s="85">
        <v>0</v>
      </c>
      <c r="AY21" s="113"/>
      <c r="AZ21" s="113"/>
      <c r="BA21" s="113"/>
      <c r="BB21" s="84">
        <v>0</v>
      </c>
      <c r="BC21" s="113"/>
      <c r="BD21" s="113"/>
      <c r="BE21" s="113"/>
      <c r="BF21" s="84">
        <v>0</v>
      </c>
      <c r="BG21" s="113"/>
      <c r="BH21" s="113"/>
      <c r="BI21" s="113"/>
      <c r="BJ21" s="113">
        <f t="shared" si="11"/>
        <v>0</v>
      </c>
      <c r="BK21" s="113">
        <f t="shared" si="12"/>
        <v>0</v>
      </c>
      <c r="BL21" s="113">
        <f t="shared" si="13"/>
        <v>0</v>
      </c>
      <c r="BM21" s="113">
        <f t="shared" si="14"/>
        <v>0</v>
      </c>
      <c r="BN21" s="94" t="s">
        <v>341</v>
      </c>
    </row>
    <row r="22" spans="1:66" s="114" customFormat="1" ht="185.25" customHeight="1" x14ac:dyDescent="0.35">
      <c r="A22" s="96">
        <v>7</v>
      </c>
      <c r="B22" s="86" t="s">
        <v>110</v>
      </c>
      <c r="C22" s="97">
        <f t="shared" si="0"/>
        <v>25862</v>
      </c>
      <c r="D22" s="115">
        <f>79262-17000-36000-400</f>
        <v>25862</v>
      </c>
      <c r="E22" s="115"/>
      <c r="F22" s="115"/>
      <c r="G22" s="115"/>
      <c r="H22" s="86" t="s">
        <v>69</v>
      </c>
      <c r="I22" s="102" t="s">
        <v>98</v>
      </c>
      <c r="J22" s="112"/>
      <c r="K22" s="112"/>
      <c r="L22" s="112"/>
      <c r="M22" s="112"/>
      <c r="N22" s="83">
        <f>375</f>
        <v>375</v>
      </c>
      <c r="O22" s="112"/>
      <c r="P22" s="113">
        <f t="shared" si="1"/>
        <v>375</v>
      </c>
      <c r="Q22" s="113">
        <f t="shared" si="2"/>
        <v>0</v>
      </c>
      <c r="R22" s="113"/>
      <c r="S22" s="113"/>
      <c r="T22" s="113"/>
      <c r="U22" s="113"/>
      <c r="V22" s="113"/>
      <c r="W22" s="113"/>
      <c r="X22" s="113"/>
      <c r="Y22" s="113"/>
      <c r="Z22" s="113"/>
      <c r="AA22" s="113"/>
      <c r="AB22" s="113"/>
      <c r="AC22" s="113"/>
      <c r="AD22" s="113">
        <f t="shared" si="3"/>
        <v>0</v>
      </c>
      <c r="AE22" s="113">
        <f t="shared" si="4"/>
        <v>0</v>
      </c>
      <c r="AF22" s="113">
        <f t="shared" si="5"/>
        <v>0</v>
      </c>
      <c r="AG22" s="113">
        <f t="shared" si="6"/>
        <v>0</v>
      </c>
      <c r="AH22" s="113"/>
      <c r="AI22" s="113"/>
      <c r="AJ22" s="113"/>
      <c r="AK22" s="113"/>
      <c r="AL22" s="113"/>
      <c r="AM22" s="113"/>
      <c r="AN22" s="113"/>
      <c r="AO22" s="113"/>
      <c r="AP22" s="113"/>
      <c r="AQ22" s="113"/>
      <c r="AR22" s="113"/>
      <c r="AS22" s="113"/>
      <c r="AT22" s="113">
        <f t="shared" si="7"/>
        <v>0</v>
      </c>
      <c r="AU22" s="113">
        <f t="shared" si="8"/>
        <v>0</v>
      </c>
      <c r="AV22" s="113">
        <f t="shared" si="9"/>
        <v>0</v>
      </c>
      <c r="AW22" s="113">
        <f t="shared" si="10"/>
        <v>0</v>
      </c>
      <c r="AX22" s="113"/>
      <c r="AY22" s="113"/>
      <c r="AZ22" s="113"/>
      <c r="BA22" s="113"/>
      <c r="BB22" s="113"/>
      <c r="BC22" s="113"/>
      <c r="BD22" s="113"/>
      <c r="BE22" s="113"/>
      <c r="BF22" s="113">
        <v>11620</v>
      </c>
      <c r="BG22" s="113"/>
      <c r="BH22" s="113"/>
      <c r="BI22" s="113"/>
      <c r="BJ22" s="113">
        <f t="shared" si="11"/>
        <v>11620</v>
      </c>
      <c r="BK22" s="113">
        <f t="shared" si="12"/>
        <v>0</v>
      </c>
      <c r="BL22" s="113">
        <f t="shared" si="13"/>
        <v>0</v>
      </c>
      <c r="BM22" s="113">
        <f t="shared" si="14"/>
        <v>0</v>
      </c>
      <c r="BN22" s="94" t="s">
        <v>429</v>
      </c>
    </row>
    <row r="23" spans="1:66" s="114" customFormat="1" ht="141" customHeight="1" x14ac:dyDescent="0.35">
      <c r="A23" s="96">
        <v>8</v>
      </c>
      <c r="B23" s="86" t="s">
        <v>108</v>
      </c>
      <c r="C23" s="97">
        <f t="shared" si="0"/>
        <v>24440</v>
      </c>
      <c r="D23" s="101">
        <f>34440-10000</f>
        <v>24440</v>
      </c>
      <c r="E23" s="115"/>
      <c r="F23" s="115"/>
      <c r="G23" s="115"/>
      <c r="H23" s="86" t="s">
        <v>69</v>
      </c>
      <c r="I23" s="102" t="s">
        <v>49</v>
      </c>
      <c r="J23" s="112"/>
      <c r="K23" s="112"/>
      <c r="L23" s="112"/>
      <c r="M23" s="112"/>
      <c r="N23" s="112"/>
      <c r="O23" s="112"/>
      <c r="P23" s="113">
        <f t="shared" si="1"/>
        <v>0</v>
      </c>
      <c r="Q23" s="113">
        <f t="shared" si="2"/>
        <v>0</v>
      </c>
      <c r="R23" s="113"/>
      <c r="S23" s="113"/>
      <c r="T23" s="113"/>
      <c r="U23" s="113"/>
      <c r="V23" s="84">
        <v>15192</v>
      </c>
      <c r="W23" s="113"/>
      <c r="X23" s="113"/>
      <c r="Y23" s="113"/>
      <c r="Z23" s="113">
        <v>5792.1</v>
      </c>
      <c r="AA23" s="113"/>
      <c r="AB23" s="113"/>
      <c r="AC23" s="113"/>
      <c r="AD23" s="113">
        <f t="shared" si="3"/>
        <v>20984.1</v>
      </c>
      <c r="AE23" s="113">
        <f t="shared" si="4"/>
        <v>0</v>
      </c>
      <c r="AF23" s="113">
        <f t="shared" si="5"/>
        <v>0</v>
      </c>
      <c r="AG23" s="113">
        <f t="shared" si="6"/>
        <v>0</v>
      </c>
      <c r="AH23" s="113"/>
      <c r="AI23" s="113"/>
      <c r="AJ23" s="113"/>
      <c r="AK23" s="113"/>
      <c r="AL23" s="113"/>
      <c r="AM23" s="113"/>
      <c r="AN23" s="113"/>
      <c r="AO23" s="113"/>
      <c r="AP23" s="113"/>
      <c r="AQ23" s="113"/>
      <c r="AR23" s="113"/>
      <c r="AS23" s="113"/>
      <c r="AT23" s="113">
        <f t="shared" si="7"/>
        <v>0</v>
      </c>
      <c r="AU23" s="113">
        <f t="shared" si="8"/>
        <v>0</v>
      </c>
      <c r="AV23" s="113">
        <f t="shared" si="9"/>
        <v>0</v>
      </c>
      <c r="AW23" s="113">
        <f t="shared" si="10"/>
        <v>0</v>
      </c>
      <c r="AX23" s="113"/>
      <c r="AY23" s="113"/>
      <c r="AZ23" s="113"/>
      <c r="BA23" s="113"/>
      <c r="BB23" s="113"/>
      <c r="BC23" s="113"/>
      <c r="BD23" s="113"/>
      <c r="BE23" s="113"/>
      <c r="BF23" s="113"/>
      <c r="BG23" s="113"/>
      <c r="BH23" s="113"/>
      <c r="BI23" s="113"/>
      <c r="BJ23" s="113">
        <f t="shared" si="11"/>
        <v>0</v>
      </c>
      <c r="BK23" s="113">
        <f t="shared" si="12"/>
        <v>0</v>
      </c>
      <c r="BL23" s="113">
        <f t="shared" si="13"/>
        <v>0</v>
      </c>
      <c r="BM23" s="113">
        <f t="shared" si="14"/>
        <v>0</v>
      </c>
      <c r="BN23" s="94" t="s">
        <v>357</v>
      </c>
    </row>
    <row r="24" spans="1:66" s="114" customFormat="1" ht="163.5" customHeight="1" x14ac:dyDescent="0.35">
      <c r="A24" s="96">
        <v>9</v>
      </c>
      <c r="B24" s="86" t="s">
        <v>113</v>
      </c>
      <c r="C24" s="97">
        <f t="shared" si="0"/>
        <v>3400</v>
      </c>
      <c r="D24" s="101">
        <f>3000+400</f>
        <v>3400</v>
      </c>
      <c r="E24" s="115"/>
      <c r="F24" s="115"/>
      <c r="G24" s="116"/>
      <c r="H24" s="86" t="s">
        <v>82</v>
      </c>
      <c r="I24" s="102" t="s">
        <v>114</v>
      </c>
      <c r="J24" s="112"/>
      <c r="K24" s="112"/>
      <c r="L24" s="112"/>
      <c r="M24" s="112"/>
      <c r="N24" s="112"/>
      <c r="O24" s="112"/>
      <c r="P24" s="113">
        <f t="shared" si="1"/>
        <v>0</v>
      </c>
      <c r="Q24" s="113">
        <f t="shared" si="2"/>
        <v>0</v>
      </c>
      <c r="R24" s="113"/>
      <c r="S24" s="113"/>
      <c r="T24" s="113"/>
      <c r="U24" s="113"/>
      <c r="V24" s="113"/>
      <c r="W24" s="113"/>
      <c r="X24" s="113"/>
      <c r="Y24" s="113"/>
      <c r="Z24" s="84">
        <v>360</v>
      </c>
      <c r="AA24" s="113"/>
      <c r="AB24" s="113"/>
      <c r="AC24" s="113"/>
      <c r="AD24" s="113">
        <f t="shared" si="3"/>
        <v>360</v>
      </c>
      <c r="AE24" s="113">
        <f t="shared" si="4"/>
        <v>0</v>
      </c>
      <c r="AF24" s="113">
        <f t="shared" si="5"/>
        <v>0</v>
      </c>
      <c r="AG24" s="113">
        <f t="shared" si="6"/>
        <v>0</v>
      </c>
      <c r="AH24" s="84">
        <v>510.01</v>
      </c>
      <c r="AI24" s="113"/>
      <c r="AJ24" s="113"/>
      <c r="AK24" s="113"/>
      <c r="AL24" s="113"/>
      <c r="AM24" s="113"/>
      <c r="AN24" s="113"/>
      <c r="AO24" s="113"/>
      <c r="AP24" s="113"/>
      <c r="AQ24" s="113"/>
      <c r="AR24" s="113"/>
      <c r="AS24" s="113"/>
      <c r="AT24" s="113">
        <f t="shared" si="7"/>
        <v>510.01</v>
      </c>
      <c r="AU24" s="113">
        <f t="shared" si="8"/>
        <v>0</v>
      </c>
      <c r="AV24" s="113">
        <f t="shared" si="9"/>
        <v>0</v>
      </c>
      <c r="AW24" s="113">
        <f t="shared" si="10"/>
        <v>0</v>
      </c>
      <c r="AX24" s="113"/>
      <c r="AY24" s="113"/>
      <c r="AZ24" s="113"/>
      <c r="BA24" s="113"/>
      <c r="BB24" s="113"/>
      <c r="BC24" s="113"/>
      <c r="BD24" s="113"/>
      <c r="BE24" s="113"/>
      <c r="BF24" s="84">
        <v>510</v>
      </c>
      <c r="BG24" s="113"/>
      <c r="BH24" s="113"/>
      <c r="BI24" s="113"/>
      <c r="BJ24" s="113">
        <f t="shared" si="11"/>
        <v>510</v>
      </c>
      <c r="BK24" s="113">
        <f t="shared" si="12"/>
        <v>0</v>
      </c>
      <c r="BL24" s="113">
        <f t="shared" si="13"/>
        <v>0</v>
      </c>
      <c r="BM24" s="113">
        <f t="shared" si="14"/>
        <v>0</v>
      </c>
      <c r="BN24" s="94" t="s">
        <v>355</v>
      </c>
    </row>
    <row r="25" spans="1:66" s="114" customFormat="1" ht="126.75" customHeight="1" x14ac:dyDescent="0.35">
      <c r="A25" s="96">
        <v>10</v>
      </c>
      <c r="B25" s="86" t="s">
        <v>275</v>
      </c>
      <c r="C25" s="97">
        <f t="shared" si="0"/>
        <v>10000</v>
      </c>
      <c r="D25" s="101">
        <f>10000</f>
        <v>10000</v>
      </c>
      <c r="E25" s="101"/>
      <c r="F25" s="101"/>
      <c r="G25" s="97"/>
      <c r="H25" s="86" t="s">
        <v>280</v>
      </c>
      <c r="I25" s="102" t="s">
        <v>279</v>
      </c>
      <c r="J25" s="112"/>
      <c r="K25" s="112"/>
      <c r="L25" s="112"/>
      <c r="M25" s="112"/>
      <c r="N25" s="112"/>
      <c r="O25" s="112"/>
      <c r="P25" s="113">
        <f t="shared" si="1"/>
        <v>0</v>
      </c>
      <c r="Q25" s="113">
        <f t="shared" si="2"/>
        <v>0</v>
      </c>
      <c r="R25" s="113"/>
      <c r="S25" s="113"/>
      <c r="T25" s="113"/>
      <c r="U25" s="113"/>
      <c r="V25" s="113"/>
      <c r="W25" s="113"/>
      <c r="X25" s="113"/>
      <c r="Y25" s="113"/>
      <c r="Z25" s="113"/>
      <c r="AA25" s="113"/>
      <c r="AB25" s="113"/>
      <c r="AC25" s="113"/>
      <c r="AD25" s="113">
        <f t="shared" si="3"/>
        <v>0</v>
      </c>
      <c r="AE25" s="113">
        <f t="shared" si="4"/>
        <v>0</v>
      </c>
      <c r="AF25" s="113">
        <f t="shared" si="5"/>
        <v>0</v>
      </c>
      <c r="AG25" s="113">
        <f t="shared" si="6"/>
        <v>0</v>
      </c>
      <c r="AH25" s="113"/>
      <c r="AI25" s="113"/>
      <c r="AJ25" s="113"/>
      <c r="AK25" s="113"/>
      <c r="AL25" s="84">
        <v>5370</v>
      </c>
      <c r="AM25" s="113"/>
      <c r="AN25" s="113"/>
      <c r="AO25" s="113"/>
      <c r="AP25" s="113"/>
      <c r="AQ25" s="113"/>
      <c r="AR25" s="113"/>
      <c r="AS25" s="113"/>
      <c r="AT25" s="113">
        <f t="shared" si="7"/>
        <v>5370</v>
      </c>
      <c r="AU25" s="113">
        <f t="shared" si="8"/>
        <v>0</v>
      </c>
      <c r="AV25" s="113">
        <f t="shared" si="9"/>
        <v>0</v>
      </c>
      <c r="AW25" s="113">
        <f t="shared" si="10"/>
        <v>0</v>
      </c>
      <c r="AX25" s="113"/>
      <c r="AY25" s="113"/>
      <c r="AZ25" s="113"/>
      <c r="BA25" s="113"/>
      <c r="BB25" s="113"/>
      <c r="BC25" s="113"/>
      <c r="BD25" s="113"/>
      <c r="BE25" s="113"/>
      <c r="BF25" s="113"/>
      <c r="BG25" s="113"/>
      <c r="BH25" s="113"/>
      <c r="BI25" s="113"/>
      <c r="BJ25" s="113">
        <f t="shared" si="11"/>
        <v>0</v>
      </c>
      <c r="BK25" s="113">
        <f t="shared" si="12"/>
        <v>0</v>
      </c>
      <c r="BL25" s="113">
        <f t="shared" si="13"/>
        <v>0</v>
      </c>
      <c r="BM25" s="113">
        <f t="shared" si="14"/>
        <v>0</v>
      </c>
      <c r="BN25" s="94" t="s">
        <v>391</v>
      </c>
    </row>
    <row r="26" spans="1:66" s="114" customFormat="1" ht="90" x14ac:dyDescent="0.35">
      <c r="A26" s="96">
        <v>11</v>
      </c>
      <c r="B26" s="86" t="s">
        <v>320</v>
      </c>
      <c r="C26" s="97">
        <f t="shared" si="0"/>
        <v>15000</v>
      </c>
      <c r="D26" s="101"/>
      <c r="E26" s="101"/>
      <c r="F26" s="101">
        <f>15000</f>
        <v>15000</v>
      </c>
      <c r="G26" s="97"/>
      <c r="H26" s="86" t="s">
        <v>321</v>
      </c>
      <c r="I26" s="86" t="s">
        <v>322</v>
      </c>
      <c r="J26" s="112"/>
      <c r="K26" s="112"/>
      <c r="L26" s="112"/>
      <c r="M26" s="112"/>
      <c r="N26" s="112"/>
      <c r="O26" s="112"/>
      <c r="P26" s="113">
        <f t="shared" ref="P26:P33" si="15">J26+L26+N26</f>
        <v>0</v>
      </c>
      <c r="Q26" s="113">
        <f t="shared" ref="Q26:Q33" si="16">+K26+M26+O26</f>
        <v>0</v>
      </c>
      <c r="R26" s="113"/>
      <c r="S26" s="113"/>
      <c r="T26" s="113"/>
      <c r="U26" s="113"/>
      <c r="V26" s="113"/>
      <c r="W26" s="113"/>
      <c r="X26" s="113"/>
      <c r="Y26" s="113"/>
      <c r="Z26" s="113"/>
      <c r="AA26" s="113"/>
      <c r="AB26" s="113">
        <v>15000</v>
      </c>
      <c r="AC26" s="113"/>
      <c r="AD26" s="113">
        <f t="shared" si="3"/>
        <v>0</v>
      </c>
      <c r="AE26" s="113">
        <f t="shared" si="4"/>
        <v>0</v>
      </c>
      <c r="AF26" s="113">
        <f t="shared" si="5"/>
        <v>15000</v>
      </c>
      <c r="AG26" s="113">
        <f t="shared" si="6"/>
        <v>0</v>
      </c>
      <c r="AH26" s="113"/>
      <c r="AI26" s="113"/>
      <c r="AJ26" s="113"/>
      <c r="AK26" s="113"/>
      <c r="AL26" s="113"/>
      <c r="AM26" s="113"/>
      <c r="AN26" s="113"/>
      <c r="AO26" s="113"/>
      <c r="AP26" s="113"/>
      <c r="AQ26" s="113"/>
      <c r="AR26" s="113"/>
      <c r="AS26" s="113"/>
      <c r="AT26" s="113">
        <f t="shared" si="7"/>
        <v>0</v>
      </c>
      <c r="AU26" s="113">
        <f t="shared" si="8"/>
        <v>0</v>
      </c>
      <c r="AV26" s="113">
        <f t="shared" si="9"/>
        <v>0</v>
      </c>
      <c r="AW26" s="113">
        <f t="shared" si="10"/>
        <v>0</v>
      </c>
      <c r="AX26" s="113"/>
      <c r="AY26" s="113"/>
      <c r="AZ26" s="113"/>
      <c r="BA26" s="113"/>
      <c r="BB26" s="113"/>
      <c r="BC26" s="113"/>
      <c r="BD26" s="113"/>
      <c r="BE26" s="113"/>
      <c r="BF26" s="113"/>
      <c r="BG26" s="113"/>
      <c r="BH26" s="113"/>
      <c r="BI26" s="113"/>
      <c r="BJ26" s="113">
        <f t="shared" si="11"/>
        <v>0</v>
      </c>
      <c r="BK26" s="113">
        <f t="shared" si="12"/>
        <v>0</v>
      </c>
      <c r="BL26" s="113">
        <f t="shared" si="13"/>
        <v>0</v>
      </c>
      <c r="BM26" s="113">
        <f t="shared" si="14"/>
        <v>0</v>
      </c>
      <c r="BN26" s="94" t="s">
        <v>343</v>
      </c>
    </row>
    <row r="27" spans="1:66" s="114" customFormat="1" ht="90" x14ac:dyDescent="0.35">
      <c r="A27" s="96">
        <v>12</v>
      </c>
      <c r="B27" s="86" t="s">
        <v>323</v>
      </c>
      <c r="C27" s="97">
        <f t="shared" si="0"/>
        <v>5000</v>
      </c>
      <c r="D27" s="101"/>
      <c r="E27" s="101"/>
      <c r="F27" s="101">
        <v>5000</v>
      </c>
      <c r="G27" s="97"/>
      <c r="H27" s="86" t="s">
        <v>321</v>
      </c>
      <c r="I27" s="86" t="s">
        <v>324</v>
      </c>
      <c r="J27" s="112"/>
      <c r="K27" s="112"/>
      <c r="L27" s="112"/>
      <c r="M27" s="112"/>
      <c r="N27" s="112"/>
      <c r="O27" s="112"/>
      <c r="P27" s="113">
        <f t="shared" si="15"/>
        <v>0</v>
      </c>
      <c r="Q27" s="113">
        <f t="shared" si="16"/>
        <v>0</v>
      </c>
      <c r="R27" s="113"/>
      <c r="S27" s="113"/>
      <c r="T27" s="113"/>
      <c r="U27" s="113"/>
      <c r="V27" s="113"/>
      <c r="W27" s="113"/>
      <c r="X27" s="113"/>
      <c r="Y27" s="113"/>
      <c r="Z27" s="113"/>
      <c r="AA27" s="113"/>
      <c r="AB27" s="113"/>
      <c r="AC27" s="113"/>
      <c r="AD27" s="113">
        <f t="shared" si="3"/>
        <v>0</v>
      </c>
      <c r="AE27" s="113">
        <f t="shared" si="4"/>
        <v>0</v>
      </c>
      <c r="AF27" s="113">
        <f t="shared" si="5"/>
        <v>0</v>
      </c>
      <c r="AG27" s="113">
        <f t="shared" si="6"/>
        <v>0</v>
      </c>
      <c r="AH27" s="113"/>
      <c r="AI27" s="113"/>
      <c r="AJ27" s="113">
        <v>3050</v>
      </c>
      <c r="AK27" s="113"/>
      <c r="AL27" s="113"/>
      <c r="AM27" s="113"/>
      <c r="AN27" s="113"/>
      <c r="AO27" s="113"/>
      <c r="AP27" s="113"/>
      <c r="AQ27" s="113"/>
      <c r="AR27" s="113"/>
      <c r="AS27" s="113"/>
      <c r="AT27" s="113">
        <f t="shared" si="7"/>
        <v>0</v>
      </c>
      <c r="AU27" s="113">
        <f t="shared" si="8"/>
        <v>0</v>
      </c>
      <c r="AV27" s="113">
        <f t="shared" si="9"/>
        <v>3050</v>
      </c>
      <c r="AW27" s="113">
        <f t="shared" si="10"/>
        <v>0</v>
      </c>
      <c r="AX27" s="113"/>
      <c r="AY27" s="113"/>
      <c r="AZ27" s="113"/>
      <c r="BA27" s="113"/>
      <c r="BB27" s="113"/>
      <c r="BC27" s="113"/>
      <c r="BD27" s="113"/>
      <c r="BE27" s="113"/>
      <c r="BF27" s="113"/>
      <c r="BG27" s="113"/>
      <c r="BH27" s="113"/>
      <c r="BI27" s="113"/>
      <c r="BJ27" s="113">
        <f t="shared" si="11"/>
        <v>0</v>
      </c>
      <c r="BK27" s="113">
        <f t="shared" si="12"/>
        <v>0</v>
      </c>
      <c r="BL27" s="113">
        <f t="shared" si="13"/>
        <v>0</v>
      </c>
      <c r="BM27" s="113">
        <f t="shared" si="14"/>
        <v>0</v>
      </c>
      <c r="BN27" s="94"/>
    </row>
    <row r="28" spans="1:66" s="114" customFormat="1" ht="90" x14ac:dyDescent="0.35">
      <c r="A28" s="96">
        <v>13</v>
      </c>
      <c r="B28" s="86" t="s">
        <v>325</v>
      </c>
      <c r="C28" s="97">
        <f t="shared" si="0"/>
        <v>4400</v>
      </c>
      <c r="D28" s="101"/>
      <c r="E28" s="101"/>
      <c r="F28" s="101"/>
      <c r="G28" s="97">
        <f>11*400</f>
        <v>4400</v>
      </c>
      <c r="H28" s="86" t="s">
        <v>321</v>
      </c>
      <c r="I28" s="86" t="s">
        <v>326</v>
      </c>
      <c r="J28" s="112"/>
      <c r="K28" s="112"/>
      <c r="L28" s="112"/>
      <c r="M28" s="112"/>
      <c r="N28" s="112"/>
      <c r="O28" s="112"/>
      <c r="P28" s="113">
        <f t="shared" si="15"/>
        <v>0</v>
      </c>
      <c r="Q28" s="113">
        <f t="shared" si="16"/>
        <v>0</v>
      </c>
      <c r="R28" s="113"/>
      <c r="S28" s="113"/>
      <c r="T28" s="113"/>
      <c r="U28" s="113"/>
      <c r="V28" s="113"/>
      <c r="W28" s="113"/>
      <c r="X28" s="113"/>
      <c r="Y28" s="113"/>
      <c r="Z28" s="113"/>
      <c r="AA28" s="113"/>
      <c r="AB28" s="113"/>
      <c r="AC28" s="103">
        <v>4400</v>
      </c>
      <c r="AD28" s="113">
        <f t="shared" si="3"/>
        <v>0</v>
      </c>
      <c r="AE28" s="113">
        <f t="shared" si="4"/>
        <v>0</v>
      </c>
      <c r="AF28" s="113">
        <f t="shared" si="5"/>
        <v>0</v>
      </c>
      <c r="AG28" s="113">
        <f t="shared" si="6"/>
        <v>4400</v>
      </c>
      <c r="AH28" s="113"/>
      <c r="AI28" s="113"/>
      <c r="AJ28" s="113"/>
      <c r="AK28" s="113"/>
      <c r="AL28" s="113"/>
      <c r="AM28" s="113"/>
      <c r="AN28" s="113"/>
      <c r="AO28" s="113"/>
      <c r="AP28" s="113"/>
      <c r="AQ28" s="113"/>
      <c r="AR28" s="113"/>
      <c r="AS28" s="113"/>
      <c r="AT28" s="113">
        <f t="shared" si="7"/>
        <v>0</v>
      </c>
      <c r="AU28" s="113">
        <f t="shared" si="8"/>
        <v>0</v>
      </c>
      <c r="AV28" s="113">
        <f t="shared" si="9"/>
        <v>0</v>
      </c>
      <c r="AW28" s="113">
        <f t="shared" si="10"/>
        <v>0</v>
      </c>
      <c r="AX28" s="113"/>
      <c r="AY28" s="113"/>
      <c r="AZ28" s="113"/>
      <c r="BA28" s="113"/>
      <c r="BB28" s="113"/>
      <c r="BC28" s="113"/>
      <c r="BD28" s="113"/>
      <c r="BE28" s="113"/>
      <c r="BF28" s="113"/>
      <c r="BG28" s="113"/>
      <c r="BH28" s="113"/>
      <c r="BI28" s="113"/>
      <c r="BJ28" s="113">
        <f t="shared" si="11"/>
        <v>0</v>
      </c>
      <c r="BK28" s="113">
        <f t="shared" si="12"/>
        <v>0</v>
      </c>
      <c r="BL28" s="113">
        <f t="shared" si="13"/>
        <v>0</v>
      </c>
      <c r="BM28" s="113">
        <f t="shared" si="14"/>
        <v>0</v>
      </c>
      <c r="BN28" s="94" t="s">
        <v>361</v>
      </c>
    </row>
    <row r="29" spans="1:66" s="114" customFormat="1" ht="126" x14ac:dyDescent="0.35">
      <c r="A29" s="96">
        <v>14</v>
      </c>
      <c r="B29" s="86" t="s">
        <v>327</v>
      </c>
      <c r="C29" s="97">
        <f t="shared" si="0"/>
        <v>13100</v>
      </c>
      <c r="D29" s="101"/>
      <c r="E29" s="101">
        <f>900+4000+8200</f>
        <v>13100</v>
      </c>
      <c r="F29" s="101"/>
      <c r="G29" s="97"/>
      <c r="H29" s="86" t="s">
        <v>328</v>
      </c>
      <c r="I29" s="86" t="s">
        <v>322</v>
      </c>
      <c r="J29" s="112"/>
      <c r="K29" s="112"/>
      <c r="L29" s="112"/>
      <c r="M29" s="112"/>
      <c r="N29" s="112"/>
      <c r="O29" s="112"/>
      <c r="P29" s="113">
        <f t="shared" si="15"/>
        <v>0</v>
      </c>
      <c r="Q29" s="113">
        <f t="shared" si="16"/>
        <v>0</v>
      </c>
      <c r="R29" s="113"/>
      <c r="S29" s="113"/>
      <c r="T29" s="113"/>
      <c r="U29" s="113"/>
      <c r="V29" s="113"/>
      <c r="W29" s="113"/>
      <c r="X29" s="113"/>
      <c r="Y29" s="113"/>
      <c r="Z29" s="113"/>
      <c r="AA29" s="113"/>
      <c r="AB29" s="113"/>
      <c r="AC29" s="113"/>
      <c r="AD29" s="113">
        <f t="shared" si="3"/>
        <v>0</v>
      </c>
      <c r="AE29" s="113">
        <f t="shared" si="4"/>
        <v>0</v>
      </c>
      <c r="AF29" s="113">
        <f t="shared" si="5"/>
        <v>0</v>
      </c>
      <c r="AG29" s="113">
        <f t="shared" si="6"/>
        <v>0</v>
      </c>
      <c r="AH29" s="113"/>
      <c r="AI29" s="113">
        <f>1999.98+7740</f>
        <v>9739.98</v>
      </c>
      <c r="AJ29" s="113"/>
      <c r="AK29" s="113"/>
      <c r="AL29" s="113"/>
      <c r="AM29" s="113">
        <f>3999.97+900</f>
        <v>4899.9699999999993</v>
      </c>
      <c r="AN29" s="113"/>
      <c r="AO29" s="113"/>
      <c r="AP29" s="113"/>
      <c r="AQ29" s="112"/>
      <c r="AR29" s="113"/>
      <c r="AS29" s="113"/>
      <c r="AT29" s="113">
        <f t="shared" si="7"/>
        <v>0</v>
      </c>
      <c r="AU29" s="113">
        <f>AI29+AM29+AQ29</f>
        <v>14639.949999999999</v>
      </c>
      <c r="AV29" s="113">
        <f t="shared" si="9"/>
        <v>0</v>
      </c>
      <c r="AW29" s="113">
        <f t="shared" si="10"/>
        <v>0</v>
      </c>
      <c r="AX29" s="113"/>
      <c r="AY29" s="113"/>
      <c r="AZ29" s="113"/>
      <c r="BA29" s="113"/>
      <c r="BB29" s="113"/>
      <c r="BC29" s="113"/>
      <c r="BD29" s="113"/>
      <c r="BE29" s="113"/>
      <c r="BF29" s="113"/>
      <c r="BG29" s="113">
        <f>-3987.89</f>
        <v>-3987.89</v>
      </c>
      <c r="BH29" s="113"/>
      <c r="BI29" s="113"/>
      <c r="BJ29" s="113">
        <f t="shared" si="11"/>
        <v>0</v>
      </c>
      <c r="BK29" s="113">
        <f t="shared" si="12"/>
        <v>-3987.89</v>
      </c>
      <c r="BL29" s="113">
        <f t="shared" si="13"/>
        <v>0</v>
      </c>
      <c r="BM29" s="113">
        <f t="shared" si="14"/>
        <v>0</v>
      </c>
      <c r="BN29" s="94" t="s">
        <v>392</v>
      </c>
    </row>
    <row r="30" spans="1:66" s="114" customFormat="1" ht="126" x14ac:dyDescent="0.35">
      <c r="A30" s="96">
        <v>15</v>
      </c>
      <c r="B30" s="86" t="s">
        <v>329</v>
      </c>
      <c r="C30" s="97">
        <f t="shared" si="0"/>
        <v>2300</v>
      </c>
      <c r="D30" s="101"/>
      <c r="E30" s="101">
        <f>2300</f>
        <v>2300</v>
      </c>
      <c r="F30" s="101"/>
      <c r="G30" s="97"/>
      <c r="H30" s="86" t="s">
        <v>328</v>
      </c>
      <c r="I30" s="86" t="s">
        <v>330</v>
      </c>
      <c r="J30" s="112"/>
      <c r="K30" s="112"/>
      <c r="L30" s="112"/>
      <c r="M30" s="112"/>
      <c r="N30" s="112"/>
      <c r="O30" s="112"/>
      <c r="P30" s="113">
        <f t="shared" si="15"/>
        <v>0</v>
      </c>
      <c r="Q30" s="113">
        <f t="shared" si="16"/>
        <v>0</v>
      </c>
      <c r="R30" s="113"/>
      <c r="S30" s="113"/>
      <c r="T30" s="113"/>
      <c r="U30" s="113"/>
      <c r="V30" s="113"/>
      <c r="W30" s="113"/>
      <c r="X30" s="113"/>
      <c r="Y30" s="113"/>
      <c r="Z30" s="113"/>
      <c r="AA30" s="113"/>
      <c r="AB30" s="113"/>
      <c r="AC30" s="113"/>
      <c r="AD30" s="113">
        <f t="shared" si="3"/>
        <v>0</v>
      </c>
      <c r="AE30" s="113">
        <f t="shared" si="4"/>
        <v>0</v>
      </c>
      <c r="AF30" s="113">
        <f t="shared" si="5"/>
        <v>0</v>
      </c>
      <c r="AG30" s="113">
        <f t="shared" si="6"/>
        <v>0</v>
      </c>
      <c r="AH30" s="113"/>
      <c r="AI30" s="113"/>
      <c r="AJ30" s="113"/>
      <c r="AK30" s="113"/>
      <c r="AL30" s="113"/>
      <c r="AM30" s="103">
        <f>720+1157.58</f>
        <v>1877.58</v>
      </c>
      <c r="AN30" s="113"/>
      <c r="AO30" s="113"/>
      <c r="AP30" s="113"/>
      <c r="AQ30" s="112"/>
      <c r="AR30" s="113"/>
      <c r="AS30" s="113"/>
      <c r="AT30" s="113">
        <f t="shared" si="7"/>
        <v>0</v>
      </c>
      <c r="AU30" s="113">
        <f>AI30+AM30+AQ30</f>
        <v>1877.58</v>
      </c>
      <c r="AV30" s="113">
        <f t="shared" si="9"/>
        <v>0</v>
      </c>
      <c r="AW30" s="113">
        <f t="shared" si="10"/>
        <v>0</v>
      </c>
      <c r="AX30" s="113"/>
      <c r="AY30" s="113"/>
      <c r="AZ30" s="113"/>
      <c r="BA30" s="113"/>
      <c r="BB30" s="113"/>
      <c r="BC30" s="113"/>
      <c r="BD30" s="113"/>
      <c r="BE30" s="113"/>
      <c r="BF30" s="113"/>
      <c r="BG30" s="113"/>
      <c r="BH30" s="113"/>
      <c r="BI30" s="113"/>
      <c r="BJ30" s="113">
        <f t="shared" si="11"/>
        <v>0</v>
      </c>
      <c r="BK30" s="113">
        <f t="shared" si="12"/>
        <v>0</v>
      </c>
      <c r="BL30" s="113">
        <f t="shared" si="13"/>
        <v>0</v>
      </c>
      <c r="BM30" s="113">
        <f t="shared" si="14"/>
        <v>0</v>
      </c>
      <c r="BN30" s="94" t="s">
        <v>389</v>
      </c>
    </row>
    <row r="31" spans="1:66" s="114" customFormat="1" ht="126" x14ac:dyDescent="0.35">
      <c r="A31" s="96">
        <v>16</v>
      </c>
      <c r="B31" s="86" t="s">
        <v>331</v>
      </c>
      <c r="C31" s="97">
        <f t="shared" si="0"/>
        <v>1600</v>
      </c>
      <c r="D31" s="101"/>
      <c r="E31" s="99">
        <v>1600</v>
      </c>
      <c r="F31" s="101"/>
      <c r="G31" s="97"/>
      <c r="H31" s="86" t="s">
        <v>328</v>
      </c>
      <c r="I31" s="86" t="s">
        <v>332</v>
      </c>
      <c r="J31" s="112"/>
      <c r="K31" s="112"/>
      <c r="L31" s="112"/>
      <c r="M31" s="112"/>
      <c r="N31" s="112"/>
      <c r="O31" s="112"/>
      <c r="P31" s="113">
        <f t="shared" si="15"/>
        <v>0</v>
      </c>
      <c r="Q31" s="113">
        <f t="shared" si="16"/>
        <v>0</v>
      </c>
      <c r="R31" s="113"/>
      <c r="S31" s="113"/>
      <c r="T31" s="113"/>
      <c r="U31" s="113"/>
      <c r="V31" s="113"/>
      <c r="W31" s="113"/>
      <c r="X31" s="113"/>
      <c r="Y31" s="113"/>
      <c r="Z31" s="113"/>
      <c r="AA31" s="113"/>
      <c r="AB31" s="113"/>
      <c r="AC31" s="113"/>
      <c r="AD31" s="113">
        <f t="shared" si="3"/>
        <v>0</v>
      </c>
      <c r="AE31" s="113">
        <f t="shared" si="4"/>
        <v>0</v>
      </c>
      <c r="AF31" s="113">
        <f t="shared" si="5"/>
        <v>0</v>
      </c>
      <c r="AG31" s="113">
        <f t="shared" si="6"/>
        <v>0</v>
      </c>
      <c r="AH31" s="113"/>
      <c r="AI31" s="103">
        <v>1599.9</v>
      </c>
      <c r="AJ31" s="113"/>
      <c r="AK31" s="113"/>
      <c r="AL31" s="113"/>
      <c r="AM31" s="112"/>
      <c r="AN31" s="113"/>
      <c r="AO31" s="113"/>
      <c r="AP31" s="113"/>
      <c r="AQ31" s="113"/>
      <c r="AR31" s="113"/>
      <c r="AS31" s="113"/>
      <c r="AT31" s="113">
        <f t="shared" si="7"/>
        <v>0</v>
      </c>
      <c r="AU31" s="113">
        <f>AI31+AM31+AQ31</f>
        <v>1599.9</v>
      </c>
      <c r="AV31" s="113">
        <f t="shared" si="9"/>
        <v>0</v>
      </c>
      <c r="AW31" s="113">
        <f t="shared" si="10"/>
        <v>0</v>
      </c>
      <c r="AX31" s="113"/>
      <c r="AY31" s="113"/>
      <c r="AZ31" s="113"/>
      <c r="BA31" s="113"/>
      <c r="BB31" s="113"/>
      <c r="BC31" s="113"/>
      <c r="BD31" s="113"/>
      <c r="BE31" s="113"/>
      <c r="BF31" s="113"/>
      <c r="BG31" s="113"/>
      <c r="BH31" s="113"/>
      <c r="BI31" s="113"/>
      <c r="BJ31" s="113">
        <f t="shared" si="11"/>
        <v>0</v>
      </c>
      <c r="BK31" s="113">
        <f t="shared" si="12"/>
        <v>0</v>
      </c>
      <c r="BL31" s="113">
        <f t="shared" si="13"/>
        <v>0</v>
      </c>
      <c r="BM31" s="113">
        <f t="shared" si="14"/>
        <v>0</v>
      </c>
      <c r="BN31" s="94" t="s">
        <v>393</v>
      </c>
    </row>
    <row r="32" spans="1:66" s="114" customFormat="1" ht="126" x14ac:dyDescent="0.35">
      <c r="A32" s="96">
        <v>17</v>
      </c>
      <c r="B32" s="86" t="s">
        <v>333</v>
      </c>
      <c r="C32" s="97">
        <f t="shared" si="0"/>
        <v>3000</v>
      </c>
      <c r="D32" s="101"/>
      <c r="E32" s="101">
        <v>3000</v>
      </c>
      <c r="F32" s="101"/>
      <c r="G32" s="97"/>
      <c r="H32" s="86" t="s">
        <v>328</v>
      </c>
      <c r="I32" s="86" t="s">
        <v>314</v>
      </c>
      <c r="J32" s="112"/>
      <c r="K32" s="112"/>
      <c r="L32" s="112"/>
      <c r="M32" s="112"/>
      <c r="N32" s="112"/>
      <c r="O32" s="112"/>
      <c r="P32" s="113">
        <f t="shared" si="15"/>
        <v>0</v>
      </c>
      <c r="Q32" s="113">
        <f t="shared" si="16"/>
        <v>0</v>
      </c>
      <c r="R32" s="113"/>
      <c r="S32" s="113"/>
      <c r="T32" s="113"/>
      <c r="U32" s="113"/>
      <c r="V32" s="113"/>
      <c r="W32" s="113"/>
      <c r="X32" s="113"/>
      <c r="Y32" s="113"/>
      <c r="Z32" s="113"/>
      <c r="AA32" s="113"/>
      <c r="AB32" s="113"/>
      <c r="AC32" s="113"/>
      <c r="AD32" s="113">
        <f t="shared" si="3"/>
        <v>0</v>
      </c>
      <c r="AE32" s="113">
        <f t="shared" si="4"/>
        <v>0</v>
      </c>
      <c r="AF32" s="113">
        <f t="shared" si="5"/>
        <v>0</v>
      </c>
      <c r="AG32" s="113">
        <f t="shared" si="6"/>
        <v>0</v>
      </c>
      <c r="AH32" s="113"/>
      <c r="AI32" s="103">
        <v>3000</v>
      </c>
      <c r="AJ32" s="113"/>
      <c r="AK32" s="113"/>
      <c r="AL32" s="113"/>
      <c r="AM32" s="112"/>
      <c r="AN32" s="113"/>
      <c r="AO32" s="113"/>
      <c r="AP32" s="113"/>
      <c r="AQ32" s="113"/>
      <c r="AR32" s="113"/>
      <c r="AS32" s="113"/>
      <c r="AT32" s="113">
        <f t="shared" si="7"/>
        <v>0</v>
      </c>
      <c r="AU32" s="113">
        <f>AI32+AM32+AQ32</f>
        <v>3000</v>
      </c>
      <c r="AV32" s="113">
        <f t="shared" si="9"/>
        <v>0</v>
      </c>
      <c r="AW32" s="113">
        <f t="shared" si="10"/>
        <v>0</v>
      </c>
      <c r="AX32" s="113"/>
      <c r="AY32" s="113"/>
      <c r="AZ32" s="113"/>
      <c r="BA32" s="113"/>
      <c r="BB32" s="113"/>
      <c r="BC32" s="113"/>
      <c r="BD32" s="113"/>
      <c r="BE32" s="113"/>
      <c r="BF32" s="113"/>
      <c r="BG32" s="113"/>
      <c r="BH32" s="113"/>
      <c r="BI32" s="113"/>
      <c r="BJ32" s="113">
        <f t="shared" si="11"/>
        <v>0</v>
      </c>
      <c r="BK32" s="113">
        <f t="shared" si="12"/>
        <v>0</v>
      </c>
      <c r="BL32" s="113">
        <f t="shared" si="13"/>
        <v>0</v>
      </c>
      <c r="BM32" s="113">
        <f t="shared" si="14"/>
        <v>0</v>
      </c>
      <c r="BN32" s="94" t="s">
        <v>348</v>
      </c>
    </row>
    <row r="33" spans="1:66" s="114" customFormat="1" ht="144" x14ac:dyDescent="0.35">
      <c r="A33" s="96">
        <v>18</v>
      </c>
      <c r="B33" s="86" t="s">
        <v>334</v>
      </c>
      <c r="C33" s="97">
        <f t="shared" si="0"/>
        <v>15000</v>
      </c>
      <c r="D33" s="101"/>
      <c r="E33" s="101">
        <v>15000</v>
      </c>
      <c r="F33" s="101"/>
      <c r="G33" s="97"/>
      <c r="H33" s="86" t="s">
        <v>335</v>
      </c>
      <c r="I33" s="86" t="s">
        <v>322</v>
      </c>
      <c r="J33" s="112"/>
      <c r="K33" s="112"/>
      <c r="L33" s="112"/>
      <c r="M33" s="112"/>
      <c r="N33" s="112"/>
      <c r="O33" s="112"/>
      <c r="P33" s="113">
        <f t="shared" si="15"/>
        <v>0</v>
      </c>
      <c r="Q33" s="113">
        <f t="shared" si="16"/>
        <v>0</v>
      </c>
      <c r="R33" s="113"/>
      <c r="S33" s="113"/>
      <c r="T33" s="113"/>
      <c r="U33" s="113"/>
      <c r="V33" s="113"/>
      <c r="W33" s="113"/>
      <c r="X33" s="113"/>
      <c r="Y33" s="113"/>
      <c r="Z33" s="113"/>
      <c r="AA33" s="113"/>
      <c r="AB33" s="113"/>
      <c r="AC33" s="113"/>
      <c r="AD33" s="113">
        <f t="shared" si="3"/>
        <v>0</v>
      </c>
      <c r="AE33" s="113">
        <f t="shared" si="4"/>
        <v>0</v>
      </c>
      <c r="AF33" s="113">
        <f t="shared" si="5"/>
        <v>0</v>
      </c>
      <c r="AG33" s="113">
        <f t="shared" si="6"/>
        <v>0</v>
      </c>
      <c r="AH33" s="113"/>
      <c r="AI33" s="113"/>
      <c r="AJ33" s="113"/>
      <c r="AK33" s="113"/>
      <c r="AL33" s="113"/>
      <c r="AM33" s="113"/>
      <c r="AN33" s="113"/>
      <c r="AO33" s="113"/>
      <c r="AP33" s="113"/>
      <c r="AQ33" s="103">
        <v>14630</v>
      </c>
      <c r="AR33" s="113"/>
      <c r="AS33" s="113"/>
      <c r="AT33" s="113">
        <f t="shared" si="7"/>
        <v>0</v>
      </c>
      <c r="AU33" s="113">
        <f t="shared" si="8"/>
        <v>14630</v>
      </c>
      <c r="AV33" s="113">
        <f t="shared" si="9"/>
        <v>0</v>
      </c>
      <c r="AW33" s="113">
        <f t="shared" si="10"/>
        <v>0</v>
      </c>
      <c r="AX33" s="113"/>
      <c r="AY33" s="113"/>
      <c r="AZ33" s="113"/>
      <c r="BA33" s="113"/>
      <c r="BB33" s="113"/>
      <c r="BC33" s="113"/>
      <c r="BD33" s="113"/>
      <c r="BE33" s="113"/>
      <c r="BF33" s="113"/>
      <c r="BG33" s="113"/>
      <c r="BH33" s="113"/>
      <c r="BI33" s="113"/>
      <c r="BJ33" s="113">
        <f t="shared" si="11"/>
        <v>0</v>
      </c>
      <c r="BK33" s="113">
        <f t="shared" si="12"/>
        <v>0</v>
      </c>
      <c r="BL33" s="113">
        <f t="shared" si="13"/>
        <v>0</v>
      </c>
      <c r="BM33" s="113">
        <f t="shared" si="14"/>
        <v>0</v>
      </c>
      <c r="BN33" s="94" t="s">
        <v>392</v>
      </c>
    </row>
    <row r="34" spans="1:66" s="114" customFormat="1" ht="144" x14ac:dyDescent="0.35">
      <c r="A34" s="96">
        <v>19</v>
      </c>
      <c r="B34" s="86" t="s">
        <v>377</v>
      </c>
      <c r="C34" s="97">
        <f t="shared" si="0"/>
        <v>6700</v>
      </c>
      <c r="D34" s="101"/>
      <c r="E34" s="101">
        <f>1800+4900</f>
        <v>6700</v>
      </c>
      <c r="F34" s="101"/>
      <c r="G34" s="97"/>
      <c r="H34" s="86" t="s">
        <v>383</v>
      </c>
      <c r="I34" s="86" t="s">
        <v>322</v>
      </c>
      <c r="J34" s="112"/>
      <c r="K34" s="112"/>
      <c r="L34" s="112"/>
      <c r="M34" s="112"/>
      <c r="N34" s="112"/>
      <c r="O34" s="112"/>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f t="shared" si="7"/>
        <v>0</v>
      </c>
      <c r="AU34" s="113">
        <f t="shared" si="8"/>
        <v>0</v>
      </c>
      <c r="AV34" s="113">
        <f t="shared" si="9"/>
        <v>0</v>
      </c>
      <c r="AW34" s="113">
        <f t="shared" si="10"/>
        <v>0</v>
      </c>
      <c r="AX34" s="113"/>
      <c r="AY34" s="113"/>
      <c r="AZ34" s="113"/>
      <c r="BA34" s="113"/>
      <c r="BB34" s="113"/>
      <c r="BC34" s="113">
        <v>6183.74</v>
      </c>
      <c r="BD34" s="113"/>
      <c r="BE34" s="113"/>
      <c r="BF34" s="113"/>
      <c r="BG34" s="113"/>
      <c r="BH34" s="113"/>
      <c r="BI34" s="113"/>
      <c r="BJ34" s="113">
        <f t="shared" si="11"/>
        <v>0</v>
      </c>
      <c r="BK34" s="113">
        <f t="shared" si="12"/>
        <v>6183.74</v>
      </c>
      <c r="BL34" s="113">
        <f t="shared" si="13"/>
        <v>0</v>
      </c>
      <c r="BM34" s="113">
        <f t="shared" si="14"/>
        <v>0</v>
      </c>
      <c r="BN34" s="94" t="s">
        <v>409</v>
      </c>
    </row>
    <row r="35" spans="1:66" s="114" customFormat="1" ht="144" x14ac:dyDescent="0.35">
      <c r="A35" s="96">
        <v>20</v>
      </c>
      <c r="B35" s="86" t="s">
        <v>378</v>
      </c>
      <c r="C35" s="97">
        <f t="shared" si="0"/>
        <v>220</v>
      </c>
      <c r="D35" s="101"/>
      <c r="E35" s="101">
        <v>220</v>
      </c>
      <c r="F35" s="101"/>
      <c r="G35" s="97"/>
      <c r="H35" s="86" t="s">
        <v>383</v>
      </c>
      <c r="I35" s="86" t="s">
        <v>372</v>
      </c>
      <c r="J35" s="112"/>
      <c r="K35" s="112"/>
      <c r="L35" s="112"/>
      <c r="M35" s="112"/>
      <c r="N35" s="112"/>
      <c r="O35" s="112"/>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f t="shared" si="7"/>
        <v>0</v>
      </c>
      <c r="AU35" s="113">
        <f t="shared" si="8"/>
        <v>0</v>
      </c>
      <c r="AV35" s="113">
        <f t="shared" si="9"/>
        <v>0</v>
      </c>
      <c r="AW35" s="113">
        <f t="shared" si="10"/>
        <v>0</v>
      </c>
      <c r="AX35" s="113"/>
      <c r="AY35" s="113">
        <v>130</v>
      </c>
      <c r="AZ35" s="113"/>
      <c r="BA35" s="113"/>
      <c r="BB35" s="113"/>
      <c r="BC35" s="113">
        <v>70</v>
      </c>
      <c r="BD35" s="113"/>
      <c r="BE35" s="113"/>
      <c r="BF35" s="113"/>
      <c r="BG35" s="113"/>
      <c r="BH35" s="113"/>
      <c r="BI35" s="113"/>
      <c r="BJ35" s="113">
        <f t="shared" si="11"/>
        <v>0</v>
      </c>
      <c r="BK35" s="113">
        <f t="shared" si="12"/>
        <v>200</v>
      </c>
      <c r="BL35" s="113">
        <f t="shared" si="13"/>
        <v>0</v>
      </c>
      <c r="BM35" s="113">
        <f t="shared" si="14"/>
        <v>0</v>
      </c>
      <c r="BN35" s="94" t="s">
        <v>409</v>
      </c>
    </row>
    <row r="36" spans="1:66" s="114" customFormat="1" ht="144" x14ac:dyDescent="0.35">
      <c r="A36" s="96">
        <v>21</v>
      </c>
      <c r="B36" s="86" t="s">
        <v>379</v>
      </c>
      <c r="C36" s="97">
        <f t="shared" si="0"/>
        <v>1000</v>
      </c>
      <c r="D36" s="101"/>
      <c r="E36" s="101">
        <v>1000</v>
      </c>
      <c r="F36" s="101"/>
      <c r="G36" s="97"/>
      <c r="H36" s="86" t="s">
        <v>383</v>
      </c>
      <c r="I36" s="86" t="s">
        <v>384</v>
      </c>
      <c r="J36" s="112"/>
      <c r="K36" s="112"/>
      <c r="L36" s="112"/>
      <c r="M36" s="112"/>
      <c r="N36" s="112"/>
      <c r="O36" s="112"/>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f t="shared" si="7"/>
        <v>0</v>
      </c>
      <c r="AU36" s="113">
        <f t="shared" si="8"/>
        <v>0</v>
      </c>
      <c r="AV36" s="113">
        <f t="shared" si="9"/>
        <v>0</v>
      </c>
      <c r="AW36" s="113">
        <f t="shared" si="10"/>
        <v>0</v>
      </c>
      <c r="AX36" s="113"/>
      <c r="AY36" s="113"/>
      <c r="AZ36" s="113"/>
      <c r="BA36" s="113"/>
      <c r="BB36" s="113"/>
      <c r="BC36" s="113">
        <v>1000</v>
      </c>
      <c r="BD36" s="113"/>
      <c r="BE36" s="113"/>
      <c r="BF36" s="113"/>
      <c r="BG36" s="113"/>
      <c r="BH36" s="113"/>
      <c r="BI36" s="113"/>
      <c r="BJ36" s="113">
        <f t="shared" si="11"/>
        <v>0</v>
      </c>
      <c r="BK36" s="113">
        <f t="shared" si="12"/>
        <v>1000</v>
      </c>
      <c r="BL36" s="113">
        <f t="shared" si="13"/>
        <v>0</v>
      </c>
      <c r="BM36" s="113">
        <f t="shared" si="14"/>
        <v>0</v>
      </c>
      <c r="BN36" s="94" t="s">
        <v>409</v>
      </c>
    </row>
    <row r="37" spans="1:66" s="114" customFormat="1" ht="144" x14ac:dyDescent="0.35">
      <c r="A37" s="96">
        <v>22</v>
      </c>
      <c r="B37" s="86" t="s">
        <v>380</v>
      </c>
      <c r="C37" s="97">
        <f t="shared" si="0"/>
        <v>2000</v>
      </c>
      <c r="D37" s="101"/>
      <c r="E37" s="101">
        <v>2000</v>
      </c>
      <c r="F37" s="101"/>
      <c r="G37" s="97"/>
      <c r="H37" s="86" t="s">
        <v>383</v>
      </c>
      <c r="I37" s="86" t="s">
        <v>312</v>
      </c>
      <c r="J37" s="112"/>
      <c r="K37" s="112"/>
      <c r="L37" s="112"/>
      <c r="M37" s="112"/>
      <c r="N37" s="112"/>
      <c r="O37" s="112"/>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f t="shared" si="7"/>
        <v>0</v>
      </c>
      <c r="AU37" s="113">
        <f t="shared" si="8"/>
        <v>0</v>
      </c>
      <c r="AV37" s="113">
        <f t="shared" si="9"/>
        <v>0</v>
      </c>
      <c r="AW37" s="113">
        <f t="shared" si="10"/>
        <v>0</v>
      </c>
      <c r="AX37" s="113"/>
      <c r="AY37" s="113"/>
      <c r="AZ37" s="113"/>
      <c r="BA37" s="113"/>
      <c r="BB37" s="113"/>
      <c r="BC37" s="113">
        <v>2000</v>
      </c>
      <c r="BD37" s="113"/>
      <c r="BE37" s="113"/>
      <c r="BF37" s="113"/>
      <c r="BG37" s="113"/>
      <c r="BH37" s="113"/>
      <c r="BI37" s="113"/>
      <c r="BJ37" s="113">
        <f t="shared" si="11"/>
        <v>0</v>
      </c>
      <c r="BK37" s="113">
        <f t="shared" si="12"/>
        <v>2000</v>
      </c>
      <c r="BL37" s="113">
        <f t="shared" si="13"/>
        <v>0</v>
      </c>
      <c r="BM37" s="113">
        <f t="shared" si="14"/>
        <v>0</v>
      </c>
      <c r="BN37" s="94" t="s">
        <v>409</v>
      </c>
    </row>
    <row r="38" spans="1:66" s="114" customFormat="1" ht="180" x14ac:dyDescent="0.35">
      <c r="A38" s="96">
        <v>23</v>
      </c>
      <c r="B38" s="94" t="s">
        <v>381</v>
      </c>
      <c r="C38" s="97">
        <f t="shared" si="0"/>
        <v>8000</v>
      </c>
      <c r="D38" s="101"/>
      <c r="E38" s="101">
        <v>8000</v>
      </c>
      <c r="F38" s="101"/>
      <c r="G38" s="97"/>
      <c r="H38" s="94" t="s">
        <v>385</v>
      </c>
      <c r="I38" s="94" t="s">
        <v>374</v>
      </c>
      <c r="J38" s="112"/>
      <c r="K38" s="112"/>
      <c r="L38" s="112"/>
      <c r="M38" s="112"/>
      <c r="N38" s="112"/>
      <c r="O38" s="112"/>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f t="shared" si="7"/>
        <v>0</v>
      </c>
      <c r="AU38" s="113">
        <f t="shared" si="8"/>
        <v>0</v>
      </c>
      <c r="AV38" s="113">
        <f t="shared" si="9"/>
        <v>0</v>
      </c>
      <c r="AW38" s="113">
        <f t="shared" si="10"/>
        <v>0</v>
      </c>
      <c r="AX38" s="113"/>
      <c r="AY38" s="113">
        <v>1419.65</v>
      </c>
      <c r="AZ38" s="113"/>
      <c r="BA38" s="113"/>
      <c r="BB38" s="113"/>
      <c r="BC38" s="113"/>
      <c r="BD38" s="113"/>
      <c r="BE38" s="113"/>
      <c r="BF38" s="113"/>
      <c r="BG38" s="113">
        <v>6500</v>
      </c>
      <c r="BH38" s="113"/>
      <c r="BI38" s="113"/>
      <c r="BJ38" s="113">
        <f t="shared" si="11"/>
        <v>0</v>
      </c>
      <c r="BK38" s="113">
        <f t="shared" si="12"/>
        <v>7919.65</v>
      </c>
      <c r="BL38" s="113">
        <f t="shared" si="13"/>
        <v>0</v>
      </c>
      <c r="BM38" s="113">
        <f t="shared" si="14"/>
        <v>0</v>
      </c>
      <c r="BN38" s="94" t="s">
        <v>409</v>
      </c>
    </row>
    <row r="39" spans="1:66" s="114" customFormat="1" ht="108" x14ac:dyDescent="0.35">
      <c r="A39" s="96">
        <v>24</v>
      </c>
      <c r="B39" s="94" t="s">
        <v>382</v>
      </c>
      <c r="C39" s="97">
        <f t="shared" si="0"/>
        <v>9790</v>
      </c>
      <c r="D39" s="101"/>
      <c r="E39" s="101">
        <v>9790</v>
      </c>
      <c r="F39" s="101"/>
      <c r="G39" s="97"/>
      <c r="H39" s="94" t="s">
        <v>386</v>
      </c>
      <c r="I39" s="94" t="s">
        <v>387</v>
      </c>
      <c r="J39" s="112"/>
      <c r="K39" s="112"/>
      <c r="L39" s="112"/>
      <c r="M39" s="112"/>
      <c r="N39" s="112"/>
      <c r="O39" s="112"/>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f t="shared" si="7"/>
        <v>0</v>
      </c>
      <c r="AU39" s="113">
        <f t="shared" si="8"/>
        <v>0</v>
      </c>
      <c r="AV39" s="113">
        <f t="shared" si="9"/>
        <v>0</v>
      </c>
      <c r="AW39" s="113">
        <f t="shared" si="10"/>
        <v>0</v>
      </c>
      <c r="AX39" s="113"/>
      <c r="AY39" s="113"/>
      <c r="AZ39" s="113"/>
      <c r="BA39" s="113"/>
      <c r="BB39" s="113"/>
      <c r="BC39" s="113"/>
      <c r="BD39" s="113"/>
      <c r="BE39" s="113"/>
      <c r="BF39" s="113"/>
      <c r="BG39" s="113">
        <v>9790</v>
      </c>
      <c r="BH39" s="113"/>
      <c r="BI39" s="113"/>
      <c r="BJ39" s="113">
        <f t="shared" si="11"/>
        <v>0</v>
      </c>
      <c r="BK39" s="113">
        <f t="shared" si="12"/>
        <v>9790</v>
      </c>
      <c r="BL39" s="113">
        <f t="shared" si="13"/>
        <v>0</v>
      </c>
      <c r="BM39" s="113">
        <f t="shared" si="14"/>
        <v>0</v>
      </c>
      <c r="BN39" s="94" t="s">
        <v>409</v>
      </c>
    </row>
    <row r="40" spans="1:66" s="119" customFormat="1" ht="21" customHeight="1" x14ac:dyDescent="0.35">
      <c r="A40" s="90"/>
      <c r="B40" s="106" t="s">
        <v>13</v>
      </c>
      <c r="C40" s="92">
        <f>D40+E40+F40+G40</f>
        <v>2203610</v>
      </c>
      <c r="D40" s="92">
        <f>SUM(D16:D39)</f>
        <v>2116500</v>
      </c>
      <c r="E40" s="92">
        <f t="shared" ref="E40:G40" si="17">SUM(E16:E39)</f>
        <v>62710</v>
      </c>
      <c r="F40" s="92">
        <f t="shared" si="17"/>
        <v>20000</v>
      </c>
      <c r="G40" s="92">
        <f t="shared" si="17"/>
        <v>4400</v>
      </c>
      <c r="H40" s="105"/>
      <c r="I40" s="105"/>
      <c r="J40" s="117">
        <f>SUM(J16:J33)</f>
        <v>123392</v>
      </c>
      <c r="K40" s="117">
        <f t="shared" ref="K40:O40" si="18">SUM(K16:K33)</f>
        <v>0</v>
      </c>
      <c r="L40" s="117">
        <f t="shared" si="18"/>
        <v>126005</v>
      </c>
      <c r="M40" s="117">
        <f t="shared" si="18"/>
        <v>0</v>
      </c>
      <c r="N40" s="117">
        <f t="shared" si="18"/>
        <v>141331.68</v>
      </c>
      <c r="O40" s="117">
        <f t="shared" si="18"/>
        <v>0</v>
      </c>
      <c r="P40" s="117">
        <f>SUM(P16:P33)</f>
        <v>390728.68</v>
      </c>
      <c r="Q40" s="117">
        <f>SUM(Q16:Q33)</f>
        <v>0</v>
      </c>
      <c r="R40" s="117">
        <f>SUM(R16:R33)</f>
        <v>117295</v>
      </c>
      <c r="S40" s="117">
        <f t="shared" ref="S40:AC40" si="19">SUM(S16:S33)</f>
        <v>0</v>
      </c>
      <c r="T40" s="117">
        <f t="shared" si="19"/>
        <v>0</v>
      </c>
      <c r="U40" s="117">
        <f t="shared" si="19"/>
        <v>0</v>
      </c>
      <c r="V40" s="117">
        <f t="shared" si="19"/>
        <v>152891</v>
      </c>
      <c r="W40" s="117">
        <f t="shared" si="19"/>
        <v>0</v>
      </c>
      <c r="X40" s="117">
        <f t="shared" si="19"/>
        <v>0</v>
      </c>
      <c r="Y40" s="117">
        <f t="shared" si="19"/>
        <v>0</v>
      </c>
      <c r="Z40" s="117">
        <f t="shared" si="19"/>
        <v>251872.09999999995</v>
      </c>
      <c r="AA40" s="117">
        <f t="shared" si="19"/>
        <v>0</v>
      </c>
      <c r="AB40" s="117">
        <f t="shared" si="19"/>
        <v>15000</v>
      </c>
      <c r="AC40" s="117">
        <f t="shared" si="19"/>
        <v>4400</v>
      </c>
      <c r="AD40" s="117">
        <f>SUM(AD16:AD33)</f>
        <v>522058.09999999992</v>
      </c>
      <c r="AE40" s="117">
        <f t="shared" ref="AE40:AG40" si="20">SUM(AE16:AE33)</f>
        <v>0</v>
      </c>
      <c r="AF40" s="117">
        <f t="shared" si="20"/>
        <v>15000</v>
      </c>
      <c r="AG40" s="117">
        <f t="shared" si="20"/>
        <v>4400</v>
      </c>
      <c r="AH40" s="117">
        <f>SUM(AH16:AH39)</f>
        <v>299527.14</v>
      </c>
      <c r="AI40" s="117">
        <f t="shared" ref="AI40:AW40" si="21">SUM(AI16:AI39)</f>
        <v>14339.88</v>
      </c>
      <c r="AJ40" s="117">
        <f t="shared" si="21"/>
        <v>3050</v>
      </c>
      <c r="AK40" s="117">
        <f t="shared" si="21"/>
        <v>0</v>
      </c>
      <c r="AL40" s="117">
        <f t="shared" si="21"/>
        <v>19115.399999999994</v>
      </c>
      <c r="AM40" s="117">
        <f t="shared" si="21"/>
        <v>6777.5499999999993</v>
      </c>
      <c r="AN40" s="117">
        <f t="shared" si="21"/>
        <v>0</v>
      </c>
      <c r="AO40" s="117">
        <f t="shared" si="21"/>
        <v>0</v>
      </c>
      <c r="AP40" s="117">
        <f t="shared" si="21"/>
        <v>110797.00999999995</v>
      </c>
      <c r="AQ40" s="117">
        <f t="shared" si="21"/>
        <v>14630</v>
      </c>
      <c r="AR40" s="117">
        <f t="shared" si="21"/>
        <v>0</v>
      </c>
      <c r="AS40" s="117">
        <f t="shared" si="21"/>
        <v>0</v>
      </c>
      <c r="AT40" s="117">
        <f t="shared" si="21"/>
        <v>429439.54999999993</v>
      </c>
      <c r="AU40" s="117">
        <f t="shared" si="21"/>
        <v>35747.43</v>
      </c>
      <c r="AV40" s="117">
        <f t="shared" si="21"/>
        <v>3050</v>
      </c>
      <c r="AW40" s="117">
        <f t="shared" si="21"/>
        <v>0</v>
      </c>
      <c r="AX40" s="117">
        <f>SUM(AX16:AX39)</f>
        <v>123705.59000000019</v>
      </c>
      <c r="AY40" s="117">
        <f t="shared" ref="AY40:BM40" si="22">SUM(AY16:AY39)</f>
        <v>1549.65</v>
      </c>
      <c r="AZ40" s="117">
        <f t="shared" si="22"/>
        <v>0</v>
      </c>
      <c r="BA40" s="117">
        <f t="shared" si="22"/>
        <v>0</v>
      </c>
      <c r="BB40" s="117">
        <f t="shared" si="22"/>
        <v>125078.95000000004</v>
      </c>
      <c r="BC40" s="117">
        <f t="shared" si="22"/>
        <v>9253.74</v>
      </c>
      <c r="BD40" s="117">
        <f t="shared" si="22"/>
        <v>0</v>
      </c>
      <c r="BE40" s="117">
        <f t="shared" si="22"/>
        <v>0</v>
      </c>
      <c r="BF40" s="117">
        <f t="shared" si="22"/>
        <v>273699.9499999999</v>
      </c>
      <c r="BG40" s="117">
        <f t="shared" si="22"/>
        <v>12302.11</v>
      </c>
      <c r="BH40" s="117">
        <f t="shared" si="22"/>
        <v>0</v>
      </c>
      <c r="BI40" s="117">
        <f t="shared" si="22"/>
        <v>0</v>
      </c>
      <c r="BJ40" s="117">
        <f t="shared" si="22"/>
        <v>522484.49000000011</v>
      </c>
      <c r="BK40" s="117">
        <f t="shared" si="22"/>
        <v>23105.5</v>
      </c>
      <c r="BL40" s="117">
        <f t="shared" si="22"/>
        <v>0</v>
      </c>
      <c r="BM40" s="117">
        <f t="shared" si="22"/>
        <v>0</v>
      </c>
      <c r="BN40" s="118"/>
    </row>
    <row r="41" spans="1:66" x14ac:dyDescent="0.3">
      <c r="G41" s="43"/>
    </row>
  </sheetData>
  <mergeCells count="40">
    <mergeCell ref="AX13:BM13"/>
    <mergeCell ref="AX14:BA14"/>
    <mergeCell ref="BB14:BE14"/>
    <mergeCell ref="BF14:BI14"/>
    <mergeCell ref="BJ14:BM14"/>
    <mergeCell ref="AT14:AW14"/>
    <mergeCell ref="BN16:BN19"/>
    <mergeCell ref="J13:Q13"/>
    <mergeCell ref="BN13:BN15"/>
    <mergeCell ref="J14:K14"/>
    <mergeCell ref="L14:M14"/>
    <mergeCell ref="N14:O14"/>
    <mergeCell ref="P14:Q14"/>
    <mergeCell ref="R13:AG13"/>
    <mergeCell ref="R14:U14"/>
    <mergeCell ref="V14:Y14"/>
    <mergeCell ref="Z14:AC14"/>
    <mergeCell ref="AD14:AG14"/>
    <mergeCell ref="AH13:AW13"/>
    <mergeCell ref="AH14:AK14"/>
    <mergeCell ref="AL14:AO14"/>
    <mergeCell ref="A1:I1"/>
    <mergeCell ref="B2:I2"/>
    <mergeCell ref="B3:I3"/>
    <mergeCell ref="B5:I5"/>
    <mergeCell ref="A6:I6"/>
    <mergeCell ref="E14:E15"/>
    <mergeCell ref="F14:F15"/>
    <mergeCell ref="G14:G15"/>
    <mergeCell ref="AP14:AS14"/>
    <mergeCell ref="A7:G7"/>
    <mergeCell ref="B8:G8"/>
    <mergeCell ref="A10:I10"/>
    <mergeCell ref="A13:A15"/>
    <mergeCell ref="B13:B15"/>
    <mergeCell ref="C13:C15"/>
    <mergeCell ref="D13:G13"/>
    <mergeCell ref="H13:H15"/>
    <mergeCell ref="I13:I15"/>
    <mergeCell ref="D14:D15"/>
  </mergeCells>
  <pageMargins left="0.11811023622047245" right="0.31496062992125984" top="0.74803149606299213" bottom="0.15748031496062992" header="0.19685039370078741" footer="0.19685039370078741"/>
  <pageSetup scale="62" orientation="landscape" r:id="rId1"/>
  <rowBreaks count="1" manualBreakCount="1">
    <brk id="1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AP29"/>
  <sheetViews>
    <sheetView topLeftCell="A25" zoomScale="70" zoomScaleNormal="70" zoomScaleSheetLayoutView="100" workbookViewId="0">
      <selection activeCell="H20" sqref="H20"/>
    </sheetView>
  </sheetViews>
  <sheetFormatPr defaultColWidth="9.125" defaultRowHeight="15.75" x14ac:dyDescent="0.3"/>
  <cols>
    <col min="1" max="1" width="5" style="14" customWidth="1"/>
    <col min="2" max="2" width="50.25" style="13" customWidth="1"/>
    <col min="3" max="3" width="15.25" style="13" customWidth="1"/>
    <col min="4" max="4" width="14.625" style="14" customWidth="1"/>
    <col min="5" max="5" width="12.875" style="14" customWidth="1"/>
    <col min="6" max="6" width="11.25" style="14" customWidth="1"/>
    <col min="7" max="7" width="11.5" style="14" customWidth="1"/>
    <col min="8" max="8" width="36" style="13" customWidth="1"/>
    <col min="9" max="9" width="21.875" style="13" customWidth="1"/>
    <col min="10" max="10" width="10.375" style="31" customWidth="1"/>
    <col min="11" max="11" width="11.25" style="31" customWidth="1"/>
    <col min="12" max="12" width="11.75" style="31" customWidth="1"/>
    <col min="13" max="14" width="12" style="31" customWidth="1"/>
    <col min="15" max="15" width="9.125" style="31" customWidth="1"/>
    <col min="16" max="16" width="10.625" style="35" customWidth="1"/>
    <col min="17" max="37" width="11.5" style="35" customWidth="1"/>
    <col min="38" max="38" width="14.875" style="35" customWidth="1"/>
    <col min="39" max="39" width="11.5" style="35" customWidth="1"/>
    <col min="40" max="40" width="15.125" style="35" customWidth="1"/>
    <col min="41" max="41" width="11.5" style="35" customWidth="1"/>
    <col min="42" max="42" width="55.875" style="31" customWidth="1"/>
    <col min="43" max="16384" width="9.125" style="13"/>
  </cols>
  <sheetData>
    <row r="1" spans="1:42" ht="55.9" customHeight="1" x14ac:dyDescent="0.3">
      <c r="A1" s="340" t="s">
        <v>61</v>
      </c>
      <c r="B1" s="340"/>
      <c r="C1" s="340"/>
      <c r="D1" s="340"/>
      <c r="E1" s="340"/>
      <c r="F1" s="340"/>
      <c r="G1" s="340"/>
      <c r="H1" s="340"/>
      <c r="I1" s="340"/>
    </row>
    <row r="2" spans="1:42" ht="67.150000000000006" customHeight="1" x14ac:dyDescent="0.3">
      <c r="A2" s="20"/>
      <c r="B2" s="341" t="s">
        <v>0</v>
      </c>
      <c r="C2" s="341"/>
      <c r="D2" s="341"/>
      <c r="E2" s="341"/>
      <c r="F2" s="341"/>
      <c r="G2" s="341"/>
      <c r="H2" s="341"/>
      <c r="I2" s="341"/>
    </row>
    <row r="3" spans="1:42" ht="48" customHeight="1" x14ac:dyDescent="0.3">
      <c r="A3" s="20"/>
      <c r="B3" s="342" t="s">
        <v>62</v>
      </c>
      <c r="C3" s="342"/>
      <c r="D3" s="342"/>
      <c r="E3" s="342"/>
      <c r="F3" s="342"/>
      <c r="G3" s="342"/>
      <c r="H3" s="342"/>
      <c r="I3" s="342"/>
    </row>
    <row r="4" spans="1:42" ht="9" customHeight="1" x14ac:dyDescent="0.3">
      <c r="A4" s="20"/>
      <c r="B4" s="21"/>
      <c r="C4" s="21"/>
      <c r="D4" s="20"/>
      <c r="E4" s="20"/>
      <c r="F4" s="20"/>
      <c r="G4" s="20"/>
      <c r="H4" s="21"/>
      <c r="I4" s="21"/>
    </row>
    <row r="5" spans="1:42" ht="129" customHeight="1" x14ac:dyDescent="0.3">
      <c r="A5" s="27"/>
      <c r="B5" s="341" t="s">
        <v>115</v>
      </c>
      <c r="C5" s="341"/>
      <c r="D5" s="341"/>
      <c r="E5" s="341"/>
      <c r="F5" s="341"/>
      <c r="G5" s="341"/>
      <c r="H5" s="341"/>
      <c r="I5" s="341"/>
    </row>
    <row r="6" spans="1:42" ht="136.5" hidden="1" customHeight="1" x14ac:dyDescent="0.3">
      <c r="A6" s="341" t="s">
        <v>116</v>
      </c>
      <c r="B6" s="341"/>
      <c r="C6" s="341"/>
      <c r="D6" s="341"/>
      <c r="E6" s="341"/>
      <c r="F6" s="341"/>
      <c r="G6" s="341"/>
      <c r="H6" s="341"/>
      <c r="I6" s="341"/>
    </row>
    <row r="7" spans="1:42" ht="114" customHeight="1" x14ac:dyDescent="0.3">
      <c r="A7" s="28"/>
      <c r="B7" s="297" t="s">
        <v>89</v>
      </c>
      <c r="C7" s="297"/>
      <c r="D7" s="297"/>
      <c r="E7" s="297"/>
      <c r="F7" s="297"/>
      <c r="G7" s="297"/>
      <c r="H7" s="297"/>
      <c r="I7" s="297"/>
    </row>
    <row r="8" spans="1:42" ht="36" customHeight="1" x14ac:dyDescent="0.3">
      <c r="A8" s="339" t="s">
        <v>35</v>
      </c>
      <c r="B8" s="339"/>
      <c r="C8" s="339"/>
      <c r="D8" s="339"/>
      <c r="E8" s="339"/>
      <c r="F8" s="339"/>
      <c r="G8" s="339"/>
      <c r="H8" s="15" t="s">
        <v>63</v>
      </c>
      <c r="I8" s="21"/>
    </row>
    <row r="9" spans="1:42" ht="28.15" customHeight="1" x14ac:dyDescent="0.3">
      <c r="A9" s="24"/>
      <c r="B9" s="339" t="s">
        <v>36</v>
      </c>
      <c r="C9" s="339"/>
      <c r="D9" s="339"/>
      <c r="E9" s="339"/>
      <c r="F9" s="339"/>
      <c r="G9" s="339"/>
      <c r="H9" s="24" t="s">
        <v>67</v>
      </c>
      <c r="I9" s="21"/>
    </row>
    <row r="10" spans="1:42" ht="28.5" customHeight="1" x14ac:dyDescent="0.3">
      <c r="A10" s="339" t="s">
        <v>6</v>
      </c>
      <c r="B10" s="339"/>
      <c r="C10" s="339"/>
      <c r="D10" s="339"/>
      <c r="E10" s="339"/>
      <c r="F10" s="339"/>
      <c r="G10" s="339"/>
      <c r="H10" s="339"/>
      <c r="I10" s="339"/>
    </row>
    <row r="12" spans="1:42" s="153" customFormat="1" ht="40.5" customHeight="1" x14ac:dyDescent="0.25">
      <c r="A12" s="343" t="s">
        <v>1</v>
      </c>
      <c r="B12" s="343" t="s">
        <v>42</v>
      </c>
      <c r="C12" s="338" t="s">
        <v>2</v>
      </c>
      <c r="D12" s="338" t="s">
        <v>43</v>
      </c>
      <c r="E12" s="338"/>
      <c r="F12" s="338"/>
      <c r="G12" s="338"/>
      <c r="H12" s="343" t="s">
        <v>16</v>
      </c>
      <c r="I12" s="338" t="s">
        <v>3</v>
      </c>
      <c r="J12" s="337" t="s">
        <v>301</v>
      </c>
      <c r="K12" s="337"/>
      <c r="L12" s="337"/>
      <c r="M12" s="337"/>
      <c r="N12" s="337"/>
      <c r="O12" s="337"/>
      <c r="P12" s="337"/>
      <c r="Q12" s="337"/>
      <c r="R12" s="346" t="s">
        <v>300</v>
      </c>
      <c r="S12" s="347"/>
      <c r="T12" s="347"/>
      <c r="U12" s="347"/>
      <c r="V12" s="347"/>
      <c r="W12" s="347"/>
      <c r="X12" s="347"/>
      <c r="Y12" s="348"/>
      <c r="Z12" s="346" t="s">
        <v>366</v>
      </c>
      <c r="AA12" s="347"/>
      <c r="AB12" s="347"/>
      <c r="AC12" s="347"/>
      <c r="AD12" s="347"/>
      <c r="AE12" s="347"/>
      <c r="AF12" s="347"/>
      <c r="AG12" s="348"/>
      <c r="AH12" s="346" t="s">
        <v>414</v>
      </c>
      <c r="AI12" s="347"/>
      <c r="AJ12" s="347"/>
      <c r="AK12" s="347"/>
      <c r="AL12" s="347"/>
      <c r="AM12" s="347"/>
      <c r="AN12" s="347"/>
      <c r="AO12" s="348"/>
      <c r="AP12" s="338" t="s">
        <v>288</v>
      </c>
    </row>
    <row r="13" spans="1:42" s="153" customFormat="1" ht="40.5" customHeight="1" x14ac:dyDescent="0.25">
      <c r="A13" s="344"/>
      <c r="B13" s="344"/>
      <c r="C13" s="338"/>
      <c r="D13" s="343" t="s">
        <v>7</v>
      </c>
      <c r="E13" s="343" t="s">
        <v>12</v>
      </c>
      <c r="F13" s="343" t="s">
        <v>40</v>
      </c>
      <c r="G13" s="343" t="s">
        <v>41</v>
      </c>
      <c r="H13" s="344"/>
      <c r="I13" s="338"/>
      <c r="J13" s="337" t="s">
        <v>285</v>
      </c>
      <c r="K13" s="337"/>
      <c r="L13" s="337" t="s">
        <v>286</v>
      </c>
      <c r="M13" s="337"/>
      <c r="N13" s="337" t="s">
        <v>287</v>
      </c>
      <c r="O13" s="337"/>
      <c r="P13" s="337" t="s">
        <v>13</v>
      </c>
      <c r="Q13" s="337"/>
      <c r="R13" s="346" t="s">
        <v>297</v>
      </c>
      <c r="S13" s="348"/>
      <c r="T13" s="346" t="s">
        <v>298</v>
      </c>
      <c r="U13" s="348"/>
      <c r="V13" s="346" t="s">
        <v>299</v>
      </c>
      <c r="W13" s="348"/>
      <c r="X13" s="346" t="s">
        <v>13</v>
      </c>
      <c r="Y13" s="348"/>
      <c r="Z13" s="337" t="s">
        <v>363</v>
      </c>
      <c r="AA13" s="337"/>
      <c r="AB13" s="337" t="s">
        <v>364</v>
      </c>
      <c r="AC13" s="337"/>
      <c r="AD13" s="337" t="s">
        <v>365</v>
      </c>
      <c r="AE13" s="337"/>
      <c r="AF13" s="337" t="s">
        <v>13</v>
      </c>
      <c r="AG13" s="337"/>
      <c r="AH13" s="346" t="s">
        <v>415</v>
      </c>
      <c r="AI13" s="348"/>
      <c r="AJ13" s="346" t="s">
        <v>416</v>
      </c>
      <c r="AK13" s="348"/>
      <c r="AL13" s="346" t="s">
        <v>417</v>
      </c>
      <c r="AM13" s="348"/>
      <c r="AN13" s="346" t="s">
        <v>13</v>
      </c>
      <c r="AO13" s="348"/>
      <c r="AP13" s="338"/>
    </row>
    <row r="14" spans="1:42" s="153" customFormat="1" ht="79.5" customHeight="1" x14ac:dyDescent="0.25">
      <c r="A14" s="345"/>
      <c r="B14" s="345"/>
      <c r="C14" s="338"/>
      <c r="D14" s="345"/>
      <c r="E14" s="345"/>
      <c r="F14" s="345"/>
      <c r="G14" s="345"/>
      <c r="H14" s="345"/>
      <c r="I14" s="338"/>
      <c r="J14" s="152" t="s">
        <v>7</v>
      </c>
      <c r="K14" s="152" t="s">
        <v>12</v>
      </c>
      <c r="L14" s="152" t="s">
        <v>7</v>
      </c>
      <c r="M14" s="152" t="s">
        <v>12</v>
      </c>
      <c r="N14" s="152" t="s">
        <v>7</v>
      </c>
      <c r="O14" s="152" t="s">
        <v>12</v>
      </c>
      <c r="P14" s="152" t="s">
        <v>7</v>
      </c>
      <c r="Q14" s="152" t="s">
        <v>12</v>
      </c>
      <c r="R14" s="152" t="s">
        <v>7</v>
      </c>
      <c r="S14" s="152" t="s">
        <v>12</v>
      </c>
      <c r="T14" s="152" t="s">
        <v>7</v>
      </c>
      <c r="U14" s="152" t="s">
        <v>12</v>
      </c>
      <c r="V14" s="152" t="s">
        <v>7</v>
      </c>
      <c r="W14" s="152" t="s">
        <v>12</v>
      </c>
      <c r="X14" s="152" t="s">
        <v>7</v>
      </c>
      <c r="Y14" s="152" t="s">
        <v>12</v>
      </c>
      <c r="Z14" s="152" t="s">
        <v>7</v>
      </c>
      <c r="AA14" s="152" t="s">
        <v>12</v>
      </c>
      <c r="AB14" s="152" t="s">
        <v>7</v>
      </c>
      <c r="AC14" s="152" t="s">
        <v>12</v>
      </c>
      <c r="AD14" s="152" t="s">
        <v>7</v>
      </c>
      <c r="AE14" s="152" t="s">
        <v>12</v>
      </c>
      <c r="AF14" s="152" t="s">
        <v>7</v>
      </c>
      <c r="AG14" s="152" t="s">
        <v>12</v>
      </c>
      <c r="AH14" s="152" t="s">
        <v>7</v>
      </c>
      <c r="AI14" s="152" t="s">
        <v>12</v>
      </c>
      <c r="AJ14" s="152" t="s">
        <v>7</v>
      </c>
      <c r="AK14" s="152" t="s">
        <v>12</v>
      </c>
      <c r="AL14" s="152" t="s">
        <v>7</v>
      </c>
      <c r="AM14" s="152" t="s">
        <v>12</v>
      </c>
      <c r="AN14" s="152" t="s">
        <v>7</v>
      </c>
      <c r="AO14" s="152" t="s">
        <v>12</v>
      </c>
      <c r="AP14" s="338"/>
    </row>
    <row r="15" spans="1:42" s="162" customFormat="1" ht="51.75" x14ac:dyDescent="0.3">
      <c r="A15" s="154">
        <v>1</v>
      </c>
      <c r="B15" s="151" t="s">
        <v>22</v>
      </c>
      <c r="C15" s="155">
        <f>D15+E15+F15+G15</f>
        <v>218333</v>
      </c>
      <c r="D15" s="155">
        <f>186000+17333+15000</f>
        <v>218333</v>
      </c>
      <c r="E15" s="155"/>
      <c r="F15" s="155"/>
      <c r="G15" s="155"/>
      <c r="H15" s="151" t="s">
        <v>45</v>
      </c>
      <c r="I15" s="151" t="s">
        <v>46</v>
      </c>
      <c r="J15" s="156">
        <v>17070</v>
      </c>
      <c r="K15" s="157"/>
      <c r="L15" s="156">
        <v>17070</v>
      </c>
      <c r="M15" s="158"/>
      <c r="N15" s="156">
        <v>17070</v>
      </c>
      <c r="O15" s="158"/>
      <c r="P15" s="159">
        <f>J15+L15+N15</f>
        <v>51210</v>
      </c>
      <c r="Q15" s="159">
        <f>K15+M15+O15</f>
        <v>0</v>
      </c>
      <c r="R15" s="160">
        <v>16564.440000000002</v>
      </c>
      <c r="S15" s="159"/>
      <c r="T15" s="160">
        <v>17070</v>
      </c>
      <c r="U15" s="159"/>
      <c r="V15" s="160">
        <v>17070</v>
      </c>
      <c r="W15" s="159"/>
      <c r="X15" s="159">
        <f>R15+T15+V15</f>
        <v>50704.44</v>
      </c>
      <c r="Y15" s="159">
        <f>S15+U15+W15</f>
        <v>0</v>
      </c>
      <c r="Z15" s="160">
        <v>27447.819999999992</v>
      </c>
      <c r="AA15" s="159"/>
      <c r="AB15" s="160">
        <v>10773.64</v>
      </c>
      <c r="AC15" s="159"/>
      <c r="AD15" s="160">
        <v>15248.100000000006</v>
      </c>
      <c r="AE15" s="159"/>
      <c r="AF15" s="159">
        <f>Z15+AB15+AD15</f>
        <v>53469.56</v>
      </c>
      <c r="AG15" s="159">
        <f>AA15+AC15+AE15</f>
        <v>0</v>
      </c>
      <c r="AH15" s="161">
        <v>16238.179999999993</v>
      </c>
      <c r="AI15" s="159"/>
      <c r="AJ15" s="160">
        <v>20060.649999999994</v>
      </c>
      <c r="AK15" s="159"/>
      <c r="AL15" s="160">
        <v>15900</v>
      </c>
      <c r="AM15" s="159"/>
      <c r="AN15" s="159">
        <f>AH15+AJ15+AL15</f>
        <v>52198.829999999987</v>
      </c>
      <c r="AO15" s="159">
        <f>AI15+AK15+AM15</f>
        <v>0</v>
      </c>
      <c r="AP15" s="343" t="s">
        <v>289</v>
      </c>
    </row>
    <row r="16" spans="1:42" s="162" customFormat="1" ht="51.75" x14ac:dyDescent="0.3">
      <c r="A16" s="154">
        <v>2</v>
      </c>
      <c r="B16" s="151" t="s">
        <v>23</v>
      </c>
      <c r="C16" s="155">
        <f t="shared" ref="C16:C26" si="0">D16+E16+F16+G16</f>
        <v>800604</v>
      </c>
      <c r="D16" s="163">
        <f>804600+71004-75000</f>
        <v>800604</v>
      </c>
      <c r="E16" s="163"/>
      <c r="F16" s="163"/>
      <c r="G16" s="155"/>
      <c r="H16" s="151" t="s">
        <v>45</v>
      </c>
      <c r="I16" s="151" t="s">
        <v>46</v>
      </c>
      <c r="J16" s="156">
        <v>62224.35</v>
      </c>
      <c r="K16" s="158"/>
      <c r="L16" s="156">
        <v>62224.35</v>
      </c>
      <c r="M16" s="158"/>
      <c r="N16" s="156">
        <v>62224.349999999984</v>
      </c>
      <c r="O16" s="158"/>
      <c r="P16" s="159">
        <f t="shared" ref="P16:P22" si="1">J16+L16+N16</f>
        <v>186673.05</v>
      </c>
      <c r="Q16" s="159">
        <f t="shared" ref="Q16:Q22" si="2">K16+M16+O16</f>
        <v>0</v>
      </c>
      <c r="R16" s="160">
        <v>63024.35</v>
      </c>
      <c r="S16" s="159"/>
      <c r="T16" s="160">
        <v>63024.350000000013</v>
      </c>
      <c r="U16" s="159"/>
      <c r="V16" s="160">
        <v>64883.35</v>
      </c>
      <c r="W16" s="159"/>
      <c r="X16" s="159">
        <f t="shared" ref="X16:X26" si="3">R16+T16+V16</f>
        <v>190932.05000000002</v>
      </c>
      <c r="Y16" s="159">
        <f t="shared" ref="Y16:Y26" si="4">S16+U16+W16</f>
        <v>0</v>
      </c>
      <c r="Z16" s="160">
        <v>129049.86000000002</v>
      </c>
      <c r="AA16" s="159"/>
      <c r="AB16" s="159"/>
      <c r="AC16" s="159"/>
      <c r="AD16" s="160">
        <v>60361.290000000066</v>
      </c>
      <c r="AE16" s="159"/>
      <c r="AF16" s="159">
        <f t="shared" ref="AF16:AF26" si="5">Z16+AB16+AD16</f>
        <v>189411.15000000008</v>
      </c>
      <c r="AG16" s="159">
        <f t="shared" ref="AG16:AG26" si="6">AA16+AC16+AE16</f>
        <v>0</v>
      </c>
      <c r="AH16" s="161">
        <v>66262.76999999999</v>
      </c>
      <c r="AI16" s="159"/>
      <c r="AJ16" s="160">
        <v>67850.319999999978</v>
      </c>
      <c r="AK16" s="159"/>
      <c r="AL16" s="160">
        <v>67062.859999999986</v>
      </c>
      <c r="AM16" s="159"/>
      <c r="AN16" s="159">
        <f t="shared" ref="AN16:AN26" si="7">AH16+AJ16+AL16</f>
        <v>201175.94999999995</v>
      </c>
      <c r="AO16" s="159">
        <f t="shared" ref="AO16:AO26" si="8">AI16+AK16+AM16</f>
        <v>0</v>
      </c>
      <c r="AP16" s="344"/>
    </row>
    <row r="17" spans="1:42" s="162" customFormat="1" ht="51.75" x14ac:dyDescent="0.3">
      <c r="A17" s="154">
        <v>3</v>
      </c>
      <c r="B17" s="164" t="s">
        <v>76</v>
      </c>
      <c r="C17" s="155">
        <f t="shared" si="0"/>
        <v>225000</v>
      </c>
      <c r="D17" s="163">
        <f>165000+60000</f>
        <v>225000</v>
      </c>
      <c r="E17" s="163"/>
      <c r="F17" s="163"/>
      <c r="G17" s="155"/>
      <c r="H17" s="151" t="s">
        <v>45</v>
      </c>
      <c r="I17" s="151" t="s">
        <v>46</v>
      </c>
      <c r="J17" s="156">
        <v>12268</v>
      </c>
      <c r="K17" s="158"/>
      <c r="L17" s="156">
        <v>1350</v>
      </c>
      <c r="M17" s="158"/>
      <c r="N17" s="156">
        <v>975</v>
      </c>
      <c r="O17" s="158"/>
      <c r="P17" s="159">
        <f t="shared" si="1"/>
        <v>14593</v>
      </c>
      <c r="Q17" s="159">
        <f t="shared" si="2"/>
        <v>0</v>
      </c>
      <c r="R17" s="160">
        <v>1534</v>
      </c>
      <c r="S17" s="159"/>
      <c r="T17" s="160">
        <v>4918</v>
      </c>
      <c r="U17" s="159"/>
      <c r="V17" s="160">
        <v>46171</v>
      </c>
      <c r="W17" s="159"/>
      <c r="X17" s="159">
        <f t="shared" si="3"/>
        <v>52623</v>
      </c>
      <c r="Y17" s="159">
        <f t="shared" si="4"/>
        <v>0</v>
      </c>
      <c r="Z17" s="160">
        <v>58225</v>
      </c>
      <c r="AA17" s="159"/>
      <c r="AB17" s="160">
        <v>390</v>
      </c>
      <c r="AC17" s="159"/>
      <c r="AD17" s="160">
        <v>840</v>
      </c>
      <c r="AE17" s="159"/>
      <c r="AF17" s="159">
        <f t="shared" si="5"/>
        <v>59455</v>
      </c>
      <c r="AG17" s="159">
        <f t="shared" si="6"/>
        <v>0</v>
      </c>
      <c r="AH17" s="161">
        <v>585</v>
      </c>
      <c r="AI17" s="159"/>
      <c r="AJ17" s="160">
        <v>0</v>
      </c>
      <c r="AK17" s="159"/>
      <c r="AL17" s="160">
        <v>60495</v>
      </c>
      <c r="AM17" s="159"/>
      <c r="AN17" s="159">
        <f t="shared" si="7"/>
        <v>61080</v>
      </c>
      <c r="AO17" s="159">
        <f t="shared" si="8"/>
        <v>0</v>
      </c>
      <c r="AP17" s="344"/>
    </row>
    <row r="18" spans="1:42" s="162" customFormat="1" ht="51.75" x14ac:dyDescent="0.3">
      <c r="A18" s="154">
        <v>4</v>
      </c>
      <c r="B18" s="164" t="s">
        <v>66</v>
      </c>
      <c r="C18" s="155">
        <f t="shared" si="0"/>
        <v>22800</v>
      </c>
      <c r="D18" s="163">
        <v>22800</v>
      </c>
      <c r="E18" s="163"/>
      <c r="F18" s="163"/>
      <c r="G18" s="155"/>
      <c r="H18" s="151" t="s">
        <v>45</v>
      </c>
      <c r="I18" s="151" t="s">
        <v>46</v>
      </c>
      <c r="J18" s="156">
        <v>1340</v>
      </c>
      <c r="K18" s="158"/>
      <c r="L18" s="156">
        <v>1900</v>
      </c>
      <c r="M18" s="158"/>
      <c r="N18" s="156">
        <v>1340</v>
      </c>
      <c r="O18" s="158"/>
      <c r="P18" s="159">
        <f t="shared" si="1"/>
        <v>4580</v>
      </c>
      <c r="Q18" s="159">
        <f t="shared" si="2"/>
        <v>0</v>
      </c>
      <c r="R18" s="160">
        <v>3240</v>
      </c>
      <c r="S18" s="159"/>
      <c r="T18" s="160">
        <v>3240</v>
      </c>
      <c r="U18" s="159"/>
      <c r="V18" s="160">
        <v>3240</v>
      </c>
      <c r="W18" s="159"/>
      <c r="X18" s="159">
        <f t="shared" si="3"/>
        <v>9720</v>
      </c>
      <c r="Y18" s="159">
        <f t="shared" si="4"/>
        <v>0</v>
      </c>
      <c r="Z18" s="160">
        <v>1340</v>
      </c>
      <c r="AA18" s="159"/>
      <c r="AB18" s="160">
        <v>1340</v>
      </c>
      <c r="AC18" s="159"/>
      <c r="AD18" s="160">
        <v>1084.7599999999984</v>
      </c>
      <c r="AE18" s="159"/>
      <c r="AF18" s="159">
        <f t="shared" si="5"/>
        <v>3764.7599999999984</v>
      </c>
      <c r="AG18" s="159">
        <f t="shared" si="6"/>
        <v>0</v>
      </c>
      <c r="AH18" s="161">
        <v>1340</v>
      </c>
      <c r="AI18" s="159"/>
      <c r="AJ18" s="160">
        <v>1340</v>
      </c>
      <c r="AK18" s="159"/>
      <c r="AL18" s="160">
        <v>1340</v>
      </c>
      <c r="AM18" s="159"/>
      <c r="AN18" s="159">
        <f t="shared" si="7"/>
        <v>4020</v>
      </c>
      <c r="AO18" s="159">
        <f t="shared" si="8"/>
        <v>0</v>
      </c>
      <c r="AP18" s="345"/>
    </row>
    <row r="19" spans="1:42" s="162" customFormat="1" ht="51.75" x14ac:dyDescent="0.3">
      <c r="A19" s="154">
        <v>5</v>
      </c>
      <c r="B19" s="164" t="s">
        <v>14</v>
      </c>
      <c r="C19" s="155">
        <f t="shared" si="0"/>
        <v>14000</v>
      </c>
      <c r="D19" s="163">
        <v>14000</v>
      </c>
      <c r="E19" s="163"/>
      <c r="F19" s="163"/>
      <c r="G19" s="155"/>
      <c r="H19" s="151" t="s">
        <v>77</v>
      </c>
      <c r="I19" s="151" t="s">
        <v>46</v>
      </c>
      <c r="J19" s="158"/>
      <c r="K19" s="158"/>
      <c r="L19" s="158"/>
      <c r="M19" s="158"/>
      <c r="N19" s="158"/>
      <c r="O19" s="158"/>
      <c r="P19" s="159">
        <f t="shared" si="1"/>
        <v>0</v>
      </c>
      <c r="Q19" s="159">
        <f t="shared" si="2"/>
        <v>0</v>
      </c>
      <c r="R19" s="160">
        <v>111.44999999999999</v>
      </c>
      <c r="S19" s="159"/>
      <c r="T19" s="159"/>
      <c r="U19" s="159"/>
      <c r="V19" s="159"/>
      <c r="W19" s="159"/>
      <c r="X19" s="159">
        <f t="shared" si="3"/>
        <v>111.44999999999999</v>
      </c>
      <c r="Y19" s="159">
        <f t="shared" si="4"/>
        <v>0</v>
      </c>
      <c r="Z19" s="159"/>
      <c r="AA19" s="159"/>
      <c r="AB19" s="159"/>
      <c r="AC19" s="159"/>
      <c r="AD19" s="159"/>
      <c r="AE19" s="159"/>
      <c r="AF19" s="159">
        <f t="shared" si="5"/>
        <v>0</v>
      </c>
      <c r="AG19" s="159">
        <f t="shared" si="6"/>
        <v>0</v>
      </c>
      <c r="AH19" s="161">
        <v>0</v>
      </c>
      <c r="AI19" s="159"/>
      <c r="AJ19" s="160">
        <v>0</v>
      </c>
      <c r="AK19" s="159"/>
      <c r="AL19" s="160">
        <v>0</v>
      </c>
      <c r="AM19" s="159"/>
      <c r="AN19" s="159">
        <f t="shared" si="7"/>
        <v>0</v>
      </c>
      <c r="AO19" s="159">
        <f t="shared" si="8"/>
        <v>0</v>
      </c>
      <c r="AP19" s="151" t="s">
        <v>293</v>
      </c>
    </row>
    <row r="20" spans="1:42" s="162" customFormat="1" ht="171.6" customHeight="1" x14ac:dyDescent="0.3">
      <c r="A20" s="154">
        <v>6</v>
      </c>
      <c r="B20" s="151" t="s">
        <v>48</v>
      </c>
      <c r="C20" s="155">
        <f t="shared" si="0"/>
        <v>14000</v>
      </c>
      <c r="D20" s="163">
        <v>14000</v>
      </c>
      <c r="E20" s="163"/>
      <c r="F20" s="163"/>
      <c r="G20" s="155"/>
      <c r="H20" s="151" t="s">
        <v>47</v>
      </c>
      <c r="I20" s="151" t="s">
        <v>24</v>
      </c>
      <c r="J20" s="158"/>
      <c r="K20" s="158"/>
      <c r="L20" s="158"/>
      <c r="M20" s="158"/>
      <c r="N20" s="156">
        <v>4000</v>
      </c>
      <c r="O20" s="158"/>
      <c r="P20" s="159">
        <f t="shared" si="1"/>
        <v>4000</v>
      </c>
      <c r="Q20" s="159">
        <f t="shared" si="2"/>
        <v>0</v>
      </c>
      <c r="R20" s="159"/>
      <c r="S20" s="159"/>
      <c r="T20" s="160">
        <f>4000+2000</f>
        <v>6000</v>
      </c>
      <c r="U20" s="159"/>
      <c r="V20" s="159"/>
      <c r="W20" s="159"/>
      <c r="X20" s="159">
        <f t="shared" si="3"/>
        <v>6000</v>
      </c>
      <c r="Y20" s="159">
        <f t="shared" si="4"/>
        <v>0</v>
      </c>
      <c r="Z20" s="159"/>
      <c r="AA20" s="159"/>
      <c r="AB20" s="159"/>
      <c r="AC20" s="159"/>
      <c r="AD20" s="159"/>
      <c r="AE20" s="159"/>
      <c r="AF20" s="159">
        <f t="shared" si="5"/>
        <v>0</v>
      </c>
      <c r="AG20" s="159">
        <f t="shared" si="6"/>
        <v>0</v>
      </c>
      <c r="AH20" s="161">
        <v>0</v>
      </c>
      <c r="AI20" s="159"/>
      <c r="AJ20" s="160">
        <v>2000</v>
      </c>
      <c r="AK20" s="159"/>
      <c r="AL20" s="160">
        <v>0</v>
      </c>
      <c r="AM20" s="159"/>
      <c r="AN20" s="159">
        <f t="shared" si="7"/>
        <v>2000</v>
      </c>
      <c r="AO20" s="159">
        <f t="shared" si="8"/>
        <v>0</v>
      </c>
      <c r="AP20" s="151" t="s">
        <v>292</v>
      </c>
    </row>
    <row r="21" spans="1:42" s="162" customFormat="1" ht="183.75" customHeight="1" x14ac:dyDescent="0.3">
      <c r="A21" s="154">
        <v>7</v>
      </c>
      <c r="B21" s="151" t="s">
        <v>358</v>
      </c>
      <c r="C21" s="155">
        <f t="shared" si="0"/>
        <v>46364</v>
      </c>
      <c r="D21" s="163">
        <f>67364-20000+17000-10000-8000</f>
        <v>46364</v>
      </c>
      <c r="E21" s="163"/>
      <c r="F21" s="163"/>
      <c r="G21" s="155"/>
      <c r="H21" s="151" t="s">
        <v>69</v>
      </c>
      <c r="I21" s="151" t="s">
        <v>98</v>
      </c>
      <c r="J21" s="158"/>
      <c r="K21" s="158"/>
      <c r="L21" s="158"/>
      <c r="M21" s="158"/>
      <c r="N21" s="156">
        <f>1125</f>
        <v>1125</v>
      </c>
      <c r="O21" s="158"/>
      <c r="P21" s="159">
        <f t="shared" si="1"/>
        <v>1125</v>
      </c>
      <c r="Q21" s="159">
        <f t="shared" si="2"/>
        <v>0</v>
      </c>
      <c r="R21" s="160">
        <v>4840</v>
      </c>
      <c r="S21" s="159"/>
      <c r="T21" s="159"/>
      <c r="U21" s="159"/>
      <c r="V21" s="159"/>
      <c r="W21" s="159"/>
      <c r="X21" s="159">
        <f t="shared" si="3"/>
        <v>4840</v>
      </c>
      <c r="Y21" s="159">
        <f t="shared" si="4"/>
        <v>0</v>
      </c>
      <c r="Z21" s="159">
        <f>19641-8000</f>
        <v>11641</v>
      </c>
      <c r="AA21" s="159"/>
      <c r="AB21" s="159"/>
      <c r="AC21" s="159"/>
      <c r="AD21" s="159"/>
      <c r="AE21" s="159"/>
      <c r="AF21" s="159">
        <f t="shared" si="5"/>
        <v>11641</v>
      </c>
      <c r="AG21" s="159">
        <f t="shared" si="6"/>
        <v>0</v>
      </c>
      <c r="AH21" s="159"/>
      <c r="AI21" s="159"/>
      <c r="AJ21" s="159"/>
      <c r="AK21" s="159"/>
      <c r="AL21" s="160">
        <v>4513.2000000000007</v>
      </c>
      <c r="AM21" s="159"/>
      <c r="AN21" s="159">
        <f t="shared" si="7"/>
        <v>4513.2000000000007</v>
      </c>
      <c r="AO21" s="159">
        <f t="shared" si="8"/>
        <v>0</v>
      </c>
      <c r="AP21" s="151" t="s">
        <v>395</v>
      </c>
    </row>
    <row r="22" spans="1:42" s="162" customFormat="1" ht="101.45" customHeight="1" x14ac:dyDescent="0.3">
      <c r="A22" s="154">
        <v>8</v>
      </c>
      <c r="B22" s="151" t="s">
        <v>96</v>
      </c>
      <c r="C22" s="155">
        <f t="shared" si="0"/>
        <v>42900</v>
      </c>
      <c r="D22" s="163">
        <f>32900+10000</f>
        <v>42900</v>
      </c>
      <c r="E22" s="163"/>
      <c r="F22" s="163"/>
      <c r="G22" s="155"/>
      <c r="H22" s="151" t="s">
        <v>69</v>
      </c>
      <c r="I22" s="151" t="s">
        <v>49</v>
      </c>
      <c r="J22" s="158"/>
      <c r="K22" s="157"/>
      <c r="L22" s="157"/>
      <c r="M22" s="158"/>
      <c r="N22" s="158"/>
      <c r="O22" s="158"/>
      <c r="P22" s="159">
        <f t="shared" si="1"/>
        <v>0</v>
      </c>
      <c r="Q22" s="159">
        <f t="shared" si="2"/>
        <v>0</v>
      </c>
      <c r="R22" s="159"/>
      <c r="S22" s="159"/>
      <c r="T22" s="160">
        <v>23346</v>
      </c>
      <c r="U22" s="159"/>
      <c r="V22" s="159">
        <v>2100</v>
      </c>
      <c r="W22" s="159"/>
      <c r="X22" s="159">
        <f t="shared" si="3"/>
        <v>25446</v>
      </c>
      <c r="Y22" s="159">
        <f t="shared" si="4"/>
        <v>0</v>
      </c>
      <c r="Z22" s="159"/>
      <c r="AA22" s="159"/>
      <c r="AB22" s="159"/>
      <c r="AC22" s="159"/>
      <c r="AD22" s="159"/>
      <c r="AE22" s="159"/>
      <c r="AF22" s="159">
        <f t="shared" si="5"/>
        <v>0</v>
      </c>
      <c r="AG22" s="159">
        <f t="shared" si="6"/>
        <v>0</v>
      </c>
      <c r="AH22" s="159"/>
      <c r="AI22" s="159"/>
      <c r="AJ22" s="159"/>
      <c r="AK22" s="159"/>
      <c r="AL22" s="160">
        <v>8822</v>
      </c>
      <c r="AM22" s="159"/>
      <c r="AN22" s="159">
        <f t="shared" si="7"/>
        <v>8822</v>
      </c>
      <c r="AO22" s="159">
        <f t="shared" si="8"/>
        <v>0</v>
      </c>
      <c r="AP22" s="151" t="s">
        <v>430</v>
      </c>
    </row>
    <row r="23" spans="1:42" s="162" customFormat="1" ht="189.75" x14ac:dyDescent="0.3">
      <c r="A23" s="154">
        <v>9</v>
      </c>
      <c r="B23" s="151" t="s">
        <v>336</v>
      </c>
      <c r="C23" s="155">
        <f t="shared" si="0"/>
        <v>8000</v>
      </c>
      <c r="D23" s="163">
        <v>8000</v>
      </c>
      <c r="E23" s="163"/>
      <c r="F23" s="163"/>
      <c r="G23" s="155"/>
      <c r="H23" s="151" t="s">
        <v>359</v>
      </c>
      <c r="I23" s="151" t="s">
        <v>322</v>
      </c>
      <c r="J23" s="158"/>
      <c r="K23" s="157"/>
      <c r="L23" s="157"/>
      <c r="M23" s="158"/>
      <c r="N23" s="158"/>
      <c r="O23" s="158"/>
      <c r="P23" s="159">
        <f t="shared" ref="P23:P26" si="9">J23+L23+N23</f>
        <v>0</v>
      </c>
      <c r="Q23" s="159">
        <f t="shared" ref="Q23:Q26" si="10">K23+M23+O23</f>
        <v>0</v>
      </c>
      <c r="R23" s="159"/>
      <c r="S23" s="159"/>
      <c r="T23" s="159"/>
      <c r="U23" s="159"/>
      <c r="V23" s="159"/>
      <c r="W23" s="159"/>
      <c r="X23" s="159">
        <f t="shared" si="3"/>
        <v>0</v>
      </c>
      <c r="Y23" s="159">
        <f t="shared" si="4"/>
        <v>0</v>
      </c>
      <c r="Z23" s="159">
        <v>8000</v>
      </c>
      <c r="AA23" s="159"/>
      <c r="AB23" s="159"/>
      <c r="AC23" s="159"/>
      <c r="AD23" s="159"/>
      <c r="AE23" s="159"/>
      <c r="AF23" s="159">
        <f t="shared" si="5"/>
        <v>8000</v>
      </c>
      <c r="AG23" s="159">
        <f t="shared" si="6"/>
        <v>0</v>
      </c>
      <c r="AH23" s="159"/>
      <c r="AI23" s="159"/>
      <c r="AJ23" s="159"/>
      <c r="AK23" s="159"/>
      <c r="AL23" s="159"/>
      <c r="AM23" s="159"/>
      <c r="AN23" s="159">
        <f t="shared" si="7"/>
        <v>0</v>
      </c>
      <c r="AO23" s="159">
        <f t="shared" si="8"/>
        <v>0</v>
      </c>
      <c r="AP23" s="151" t="s">
        <v>394</v>
      </c>
    </row>
    <row r="24" spans="1:42" s="162" customFormat="1" ht="189.75" x14ac:dyDescent="0.3">
      <c r="A24" s="154">
        <v>10</v>
      </c>
      <c r="B24" s="151" t="s">
        <v>337</v>
      </c>
      <c r="C24" s="155">
        <f t="shared" si="0"/>
        <v>15200</v>
      </c>
      <c r="D24" s="163"/>
      <c r="E24" s="163">
        <f>1600+2400+11200</f>
        <v>15200</v>
      </c>
      <c r="F24" s="163"/>
      <c r="G24" s="155"/>
      <c r="H24" s="151" t="s">
        <v>359</v>
      </c>
      <c r="I24" s="151" t="s">
        <v>322</v>
      </c>
      <c r="J24" s="158"/>
      <c r="K24" s="157"/>
      <c r="L24" s="157"/>
      <c r="M24" s="158"/>
      <c r="N24" s="158"/>
      <c r="O24" s="158"/>
      <c r="P24" s="159">
        <f t="shared" si="9"/>
        <v>0</v>
      </c>
      <c r="Q24" s="159">
        <f t="shared" si="10"/>
        <v>0</v>
      </c>
      <c r="R24" s="159"/>
      <c r="S24" s="159"/>
      <c r="T24" s="159"/>
      <c r="U24" s="159"/>
      <c r="V24" s="159"/>
      <c r="W24" s="159"/>
      <c r="X24" s="159">
        <f t="shared" si="3"/>
        <v>0</v>
      </c>
      <c r="Y24" s="159">
        <f t="shared" si="4"/>
        <v>0</v>
      </c>
      <c r="Z24" s="159"/>
      <c r="AA24" s="159">
        <v>14968.57</v>
      </c>
      <c r="AB24" s="159"/>
      <c r="AC24" s="159"/>
      <c r="AD24" s="159"/>
      <c r="AE24" s="159"/>
      <c r="AF24" s="159">
        <f t="shared" si="5"/>
        <v>0</v>
      </c>
      <c r="AG24" s="159">
        <f t="shared" si="6"/>
        <v>14968.57</v>
      </c>
      <c r="AH24" s="159"/>
      <c r="AI24" s="159"/>
      <c r="AJ24" s="159"/>
      <c r="AK24" s="159"/>
      <c r="AL24" s="159"/>
      <c r="AM24" s="159"/>
      <c r="AN24" s="159">
        <f t="shared" si="7"/>
        <v>0</v>
      </c>
      <c r="AO24" s="159">
        <f t="shared" si="8"/>
        <v>0</v>
      </c>
      <c r="AP24" s="152" t="s">
        <v>392</v>
      </c>
    </row>
    <row r="25" spans="1:42" s="162" customFormat="1" ht="189.75" x14ac:dyDescent="0.3">
      <c r="A25" s="154">
        <v>11</v>
      </c>
      <c r="B25" s="151" t="s">
        <v>338</v>
      </c>
      <c r="C25" s="155">
        <f t="shared" si="0"/>
        <v>2200</v>
      </c>
      <c r="D25" s="163"/>
      <c r="E25" s="163">
        <v>2200</v>
      </c>
      <c r="F25" s="163"/>
      <c r="G25" s="155"/>
      <c r="H25" s="151" t="s">
        <v>359</v>
      </c>
      <c r="I25" s="151" t="s">
        <v>360</v>
      </c>
      <c r="J25" s="158"/>
      <c r="K25" s="157"/>
      <c r="L25" s="157"/>
      <c r="M25" s="158"/>
      <c r="N25" s="158"/>
      <c r="O25" s="158"/>
      <c r="P25" s="159">
        <f t="shared" si="9"/>
        <v>0</v>
      </c>
      <c r="Q25" s="159">
        <f t="shared" si="10"/>
        <v>0</v>
      </c>
      <c r="R25" s="159"/>
      <c r="S25" s="159"/>
      <c r="T25" s="159"/>
      <c r="U25" s="159"/>
      <c r="V25" s="159"/>
      <c r="W25" s="159">
        <v>2200</v>
      </c>
      <c r="X25" s="159">
        <f t="shared" si="3"/>
        <v>0</v>
      </c>
      <c r="Y25" s="159">
        <f t="shared" si="4"/>
        <v>2200</v>
      </c>
      <c r="Z25" s="159"/>
      <c r="AA25" s="159"/>
      <c r="AB25" s="159"/>
      <c r="AC25" s="159"/>
      <c r="AD25" s="159"/>
      <c r="AE25" s="159"/>
      <c r="AF25" s="159">
        <f t="shared" si="5"/>
        <v>0</v>
      </c>
      <c r="AG25" s="159">
        <f t="shared" si="6"/>
        <v>0</v>
      </c>
      <c r="AH25" s="159"/>
      <c r="AI25" s="159"/>
      <c r="AJ25" s="159"/>
      <c r="AK25" s="159"/>
      <c r="AL25" s="159"/>
      <c r="AM25" s="159"/>
      <c r="AN25" s="159">
        <f t="shared" si="7"/>
        <v>0</v>
      </c>
      <c r="AO25" s="159">
        <f t="shared" si="8"/>
        <v>0</v>
      </c>
      <c r="AP25" s="151" t="s">
        <v>344</v>
      </c>
    </row>
    <row r="26" spans="1:42" s="162" customFormat="1" ht="189.75" x14ac:dyDescent="0.3">
      <c r="A26" s="154">
        <v>12</v>
      </c>
      <c r="B26" s="151" t="s">
        <v>339</v>
      </c>
      <c r="C26" s="155">
        <f t="shared" si="0"/>
        <v>2600</v>
      </c>
      <c r="D26" s="163"/>
      <c r="E26" s="163">
        <v>2600</v>
      </c>
      <c r="F26" s="163"/>
      <c r="G26" s="155"/>
      <c r="H26" s="151" t="s">
        <v>359</v>
      </c>
      <c r="I26" s="151" t="s">
        <v>314</v>
      </c>
      <c r="J26" s="158"/>
      <c r="K26" s="157"/>
      <c r="L26" s="157"/>
      <c r="M26" s="158"/>
      <c r="N26" s="158"/>
      <c r="O26" s="158"/>
      <c r="P26" s="159">
        <f t="shared" si="9"/>
        <v>0</v>
      </c>
      <c r="Q26" s="159">
        <f t="shared" si="10"/>
        <v>0</v>
      </c>
      <c r="R26" s="159"/>
      <c r="S26" s="159"/>
      <c r="T26" s="159"/>
      <c r="U26" s="159"/>
      <c r="V26" s="159"/>
      <c r="W26" s="159"/>
      <c r="X26" s="159">
        <f t="shared" si="3"/>
        <v>0</v>
      </c>
      <c r="Y26" s="159">
        <f t="shared" si="4"/>
        <v>0</v>
      </c>
      <c r="Z26" s="159"/>
      <c r="AA26" s="165">
        <v>2600</v>
      </c>
      <c r="AB26" s="159"/>
      <c r="AC26" s="159"/>
      <c r="AD26" s="159"/>
      <c r="AE26" s="159"/>
      <c r="AF26" s="159">
        <f t="shared" si="5"/>
        <v>0</v>
      </c>
      <c r="AG26" s="159">
        <f t="shared" si="6"/>
        <v>2600</v>
      </c>
      <c r="AH26" s="159"/>
      <c r="AI26" s="159"/>
      <c r="AJ26" s="159"/>
      <c r="AK26" s="159"/>
      <c r="AL26" s="159"/>
      <c r="AM26" s="159"/>
      <c r="AN26" s="159">
        <f t="shared" si="7"/>
        <v>0</v>
      </c>
      <c r="AO26" s="159">
        <f t="shared" si="8"/>
        <v>0</v>
      </c>
      <c r="AP26" s="152" t="s">
        <v>348</v>
      </c>
    </row>
    <row r="27" spans="1:42" s="166" customFormat="1" ht="25.15" customHeight="1" x14ac:dyDescent="0.3">
      <c r="B27" s="167" t="s">
        <v>13</v>
      </c>
      <c r="C27" s="168">
        <f>D27+E27+F27+G27</f>
        <v>1412001</v>
      </c>
      <c r="D27" s="168">
        <f>SUM(D15:D26)</f>
        <v>1392001</v>
      </c>
      <c r="E27" s="168">
        <f t="shared" ref="E27:G27" si="11">SUM(E15:E26)</f>
        <v>20000</v>
      </c>
      <c r="F27" s="168">
        <f t="shared" si="11"/>
        <v>0</v>
      </c>
      <c r="G27" s="168">
        <f t="shared" si="11"/>
        <v>0</v>
      </c>
      <c r="J27" s="169">
        <f>SUM(J15:J26)</f>
        <v>92902.35</v>
      </c>
      <c r="K27" s="169">
        <f t="shared" ref="K27:O27" si="12">SUM(K15:K26)</f>
        <v>0</v>
      </c>
      <c r="L27" s="169">
        <f t="shared" si="12"/>
        <v>82544.350000000006</v>
      </c>
      <c r="M27" s="169">
        <f t="shared" si="12"/>
        <v>0</v>
      </c>
      <c r="N27" s="169">
        <f t="shared" si="12"/>
        <v>86734.349999999977</v>
      </c>
      <c r="O27" s="169">
        <f t="shared" si="12"/>
        <v>0</v>
      </c>
      <c r="P27" s="169">
        <f>SUM(P15:P26)</f>
        <v>262181.05</v>
      </c>
      <c r="Q27" s="169">
        <f>SUM(Q15:Q26)</f>
        <v>0</v>
      </c>
      <c r="R27" s="169">
        <f>SUM(R15:R26)</f>
        <v>89314.240000000005</v>
      </c>
      <c r="S27" s="169">
        <f t="shared" ref="S27:W27" si="13">SUM(S15:S26)</f>
        <v>0</v>
      </c>
      <c r="T27" s="169">
        <f t="shared" si="13"/>
        <v>117598.35</v>
      </c>
      <c r="U27" s="169">
        <f t="shared" si="13"/>
        <v>0</v>
      </c>
      <c r="V27" s="169">
        <f t="shared" si="13"/>
        <v>133464.35</v>
      </c>
      <c r="W27" s="169">
        <f t="shared" si="13"/>
        <v>2200</v>
      </c>
      <c r="X27" s="169">
        <f>SUM(X15:X26)</f>
        <v>340376.94</v>
      </c>
      <c r="Y27" s="169">
        <f>SUM(Y15:Y26)</f>
        <v>2200</v>
      </c>
      <c r="Z27" s="169">
        <f>SUM(Z15:Z26)</f>
        <v>235703.67999999999</v>
      </c>
      <c r="AA27" s="169">
        <f t="shared" ref="AA27:AG27" si="14">SUM(AA15:AA26)</f>
        <v>17568.57</v>
      </c>
      <c r="AB27" s="169">
        <f t="shared" si="14"/>
        <v>12503.64</v>
      </c>
      <c r="AC27" s="169">
        <f t="shared" si="14"/>
        <v>0</v>
      </c>
      <c r="AD27" s="169">
        <f t="shared" si="14"/>
        <v>77534.150000000067</v>
      </c>
      <c r="AE27" s="169">
        <f t="shared" si="14"/>
        <v>0</v>
      </c>
      <c r="AF27" s="169">
        <f t="shared" si="14"/>
        <v>325741.47000000009</v>
      </c>
      <c r="AG27" s="169">
        <f t="shared" si="14"/>
        <v>17568.57</v>
      </c>
      <c r="AH27" s="169">
        <f>SUM(AH15:AH26)</f>
        <v>84425.949999999983</v>
      </c>
      <c r="AI27" s="169">
        <f t="shared" ref="AI27:AO27" si="15">SUM(AI15:AI26)</f>
        <v>0</v>
      </c>
      <c r="AJ27" s="169">
        <f t="shared" si="15"/>
        <v>91250.969999999972</v>
      </c>
      <c r="AK27" s="169">
        <f t="shared" si="15"/>
        <v>0</v>
      </c>
      <c r="AL27" s="169">
        <f t="shared" si="15"/>
        <v>158133.06</v>
      </c>
      <c r="AM27" s="169">
        <f t="shared" si="15"/>
        <v>0</v>
      </c>
      <c r="AN27" s="169">
        <f t="shared" si="15"/>
        <v>333809.97999999992</v>
      </c>
      <c r="AO27" s="169">
        <f t="shared" si="15"/>
        <v>0</v>
      </c>
    </row>
    <row r="28" spans="1:42" ht="21" customHeight="1" x14ac:dyDescent="0.3">
      <c r="C28" s="17"/>
      <c r="D28" s="18"/>
      <c r="E28" s="18"/>
      <c r="F28" s="18"/>
      <c r="G28" s="18"/>
    </row>
    <row r="29" spans="1:42" x14ac:dyDescent="0.3">
      <c r="C29" s="17"/>
      <c r="D29" s="18"/>
      <c r="E29" s="18"/>
      <c r="F29" s="18"/>
      <c r="G29" s="18"/>
    </row>
  </sheetData>
  <mergeCells count="41">
    <mergeCell ref="AH12:AO12"/>
    <mergeCell ref="AH13:AI13"/>
    <mergeCell ref="AJ13:AK13"/>
    <mergeCell ref="AL13:AM13"/>
    <mergeCell ref="AN13:AO13"/>
    <mergeCell ref="AF13:AG13"/>
    <mergeCell ref="AP15:AP18"/>
    <mergeCell ref="J12:Q12"/>
    <mergeCell ref="AP12:AP14"/>
    <mergeCell ref="J13:K13"/>
    <mergeCell ref="L13:M13"/>
    <mergeCell ref="N13:O13"/>
    <mergeCell ref="P13:Q13"/>
    <mergeCell ref="R12:Y12"/>
    <mergeCell ref="R13:S13"/>
    <mergeCell ref="T13:U13"/>
    <mergeCell ref="V13:W13"/>
    <mergeCell ref="X13:Y13"/>
    <mergeCell ref="Z12:AG12"/>
    <mergeCell ref="Z13:AA13"/>
    <mergeCell ref="AB13:AC13"/>
    <mergeCell ref="B7:I7"/>
    <mergeCell ref="A12:A14"/>
    <mergeCell ref="B12:B14"/>
    <mergeCell ref="C12:C14"/>
    <mergeCell ref="D12:G12"/>
    <mergeCell ref="H12:H14"/>
    <mergeCell ref="D13:D14"/>
    <mergeCell ref="E13:E14"/>
    <mergeCell ref="F13:F14"/>
    <mergeCell ref="G13:G14"/>
    <mergeCell ref="A1:I1"/>
    <mergeCell ref="B2:I2"/>
    <mergeCell ref="B3:I3"/>
    <mergeCell ref="B5:I5"/>
    <mergeCell ref="A6:I6"/>
    <mergeCell ref="AD13:AE13"/>
    <mergeCell ref="I12:I14"/>
    <mergeCell ref="A8:G8"/>
    <mergeCell ref="B9:G9"/>
    <mergeCell ref="A10:I10"/>
  </mergeCells>
  <pageMargins left="0.70866141732283472" right="0.70866141732283472" top="0.74803149606299213" bottom="0.74803149606299213" header="0.31496062992125984" footer="0.31496062992125984"/>
  <pageSetup scale="69" orientation="landscape" r:id="rId1"/>
  <rowBreaks count="1" manualBreakCount="1">
    <brk id="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AV33"/>
  <sheetViews>
    <sheetView topLeftCell="A20" zoomScale="70" zoomScaleNormal="70" workbookViewId="0">
      <selection activeCell="M19" sqref="M19"/>
    </sheetView>
  </sheetViews>
  <sheetFormatPr defaultColWidth="8.875" defaultRowHeight="15" x14ac:dyDescent="0.25"/>
  <cols>
    <col min="1" max="1" width="4.875" style="14" customWidth="1"/>
    <col min="2" max="2" width="69" style="13" customWidth="1"/>
    <col min="3" max="3" width="13.25" style="13" customWidth="1"/>
    <col min="4" max="6" width="11.25" style="14" customWidth="1"/>
    <col min="7" max="7" width="14" style="14" customWidth="1"/>
    <col min="8" max="8" width="40.75" style="13" customWidth="1"/>
    <col min="9" max="9" width="30.5" style="13" customWidth="1"/>
    <col min="10" max="15" width="12.625" style="13" customWidth="1"/>
    <col min="16" max="29" width="12.625" style="33" customWidth="1"/>
    <col min="30" max="35" width="12.625" style="58" customWidth="1"/>
    <col min="36" max="45" width="12.625" style="33" customWidth="1"/>
    <col min="46" max="46" width="35.875" style="13" customWidth="1"/>
    <col min="47" max="16384" width="8.875" style="13"/>
  </cols>
  <sheetData>
    <row r="1" spans="1:46" ht="36" customHeight="1" x14ac:dyDescent="0.25">
      <c r="A1" s="340" t="s">
        <v>61</v>
      </c>
      <c r="B1" s="340"/>
      <c r="C1" s="340"/>
      <c r="D1" s="340"/>
      <c r="E1" s="340"/>
      <c r="F1" s="340"/>
      <c r="G1" s="340"/>
      <c r="H1" s="340"/>
      <c r="I1" s="340"/>
    </row>
    <row r="2" spans="1:46" ht="51.75" customHeight="1" x14ac:dyDescent="0.25">
      <c r="A2" s="20"/>
      <c r="B2" s="341" t="s">
        <v>0</v>
      </c>
      <c r="C2" s="341"/>
      <c r="D2" s="341"/>
      <c r="E2" s="341"/>
      <c r="F2" s="341"/>
      <c r="G2" s="341"/>
      <c r="H2" s="341"/>
      <c r="I2" s="341"/>
    </row>
    <row r="3" spans="1:46" ht="55.5" customHeight="1" x14ac:dyDescent="0.25">
      <c r="A3" s="20"/>
      <c r="B3" s="342" t="s">
        <v>38</v>
      </c>
      <c r="C3" s="342"/>
      <c r="D3" s="342"/>
      <c r="E3" s="342"/>
      <c r="F3" s="342"/>
      <c r="G3" s="342"/>
      <c r="H3" s="342"/>
      <c r="I3" s="342"/>
    </row>
    <row r="4" spans="1:46" ht="9" customHeight="1" x14ac:dyDescent="0.3">
      <c r="A4" s="20"/>
      <c r="B4" s="21"/>
      <c r="C4" s="21"/>
      <c r="D4" s="20"/>
      <c r="E4" s="20"/>
      <c r="F4" s="20"/>
      <c r="G4" s="20"/>
      <c r="H4" s="21"/>
      <c r="I4" s="21"/>
    </row>
    <row r="5" spans="1:46" ht="130.5" customHeight="1" x14ac:dyDescent="0.25">
      <c r="A5" s="27"/>
      <c r="B5" s="341" t="s">
        <v>117</v>
      </c>
      <c r="C5" s="341"/>
      <c r="D5" s="341"/>
      <c r="E5" s="341"/>
      <c r="F5" s="341"/>
      <c r="G5" s="341"/>
      <c r="H5" s="341"/>
      <c r="I5" s="341"/>
    </row>
    <row r="6" spans="1:46" ht="117.6" customHeight="1" x14ac:dyDescent="0.25">
      <c r="A6" s="341" t="s">
        <v>118</v>
      </c>
      <c r="B6" s="341"/>
      <c r="C6" s="341"/>
      <c r="D6" s="341"/>
      <c r="E6" s="341"/>
      <c r="F6" s="341"/>
      <c r="G6" s="341"/>
      <c r="H6" s="341"/>
      <c r="I6" s="341"/>
    </row>
    <row r="7" spans="1:46" ht="54" hidden="1" customHeight="1" x14ac:dyDescent="0.3">
      <c r="A7" s="350"/>
      <c r="B7" s="350"/>
      <c r="C7" s="350"/>
      <c r="D7" s="350"/>
      <c r="E7" s="350"/>
      <c r="F7" s="350"/>
      <c r="G7" s="350"/>
      <c r="H7" s="350"/>
      <c r="I7" s="21"/>
    </row>
    <row r="8" spans="1:46" ht="36" customHeight="1" x14ac:dyDescent="0.3">
      <c r="A8" s="339" t="s">
        <v>35</v>
      </c>
      <c r="B8" s="339"/>
      <c r="C8" s="339"/>
      <c r="D8" s="339"/>
      <c r="E8" s="339"/>
      <c r="F8" s="339"/>
      <c r="G8" s="339"/>
      <c r="H8" s="15" t="s">
        <v>31</v>
      </c>
      <c r="I8" s="21"/>
    </row>
    <row r="9" spans="1:46" ht="36" customHeight="1" x14ac:dyDescent="0.3">
      <c r="A9" s="24"/>
      <c r="B9" s="339" t="s">
        <v>36</v>
      </c>
      <c r="C9" s="339"/>
      <c r="D9" s="339"/>
      <c r="E9" s="339"/>
      <c r="F9" s="339"/>
      <c r="G9" s="339"/>
      <c r="H9" s="24" t="s">
        <v>67</v>
      </c>
      <c r="I9" s="21"/>
    </row>
    <row r="10" spans="1:46" ht="10.5" customHeight="1" x14ac:dyDescent="0.3">
      <c r="A10" s="349"/>
      <c r="B10" s="349"/>
      <c r="C10" s="349"/>
      <c r="D10" s="349"/>
      <c r="E10" s="349"/>
      <c r="F10" s="349"/>
      <c r="G10" s="349"/>
      <c r="H10" s="349"/>
      <c r="I10" s="349"/>
    </row>
    <row r="11" spans="1:46" ht="45.75" customHeight="1" x14ac:dyDescent="0.25">
      <c r="A11" s="339" t="s">
        <v>6</v>
      </c>
      <c r="B11" s="339"/>
      <c r="C11" s="339"/>
      <c r="D11" s="339"/>
      <c r="E11" s="339"/>
      <c r="F11" s="339"/>
      <c r="G11" s="339"/>
      <c r="H11" s="339"/>
      <c r="I11" s="339"/>
    </row>
    <row r="13" spans="1:46" s="88" customFormat="1" ht="40.5" customHeight="1" x14ac:dyDescent="0.25">
      <c r="A13" s="321" t="s">
        <v>1</v>
      </c>
      <c r="B13" s="321" t="s">
        <v>42</v>
      </c>
      <c r="C13" s="324" t="s">
        <v>2</v>
      </c>
      <c r="D13" s="324" t="s">
        <v>43</v>
      </c>
      <c r="E13" s="324"/>
      <c r="F13" s="324"/>
      <c r="G13" s="324"/>
      <c r="H13" s="324" t="s">
        <v>16</v>
      </c>
      <c r="I13" s="324" t="s">
        <v>3</v>
      </c>
      <c r="J13" s="320" t="s">
        <v>301</v>
      </c>
      <c r="K13" s="320"/>
      <c r="L13" s="320"/>
      <c r="M13" s="320"/>
      <c r="N13" s="320"/>
      <c r="O13" s="320"/>
      <c r="P13" s="320"/>
      <c r="Q13" s="320"/>
      <c r="R13" s="326" t="s">
        <v>300</v>
      </c>
      <c r="S13" s="327"/>
      <c r="T13" s="327"/>
      <c r="U13" s="327"/>
      <c r="V13" s="327"/>
      <c r="W13" s="327"/>
      <c r="X13" s="327"/>
      <c r="Y13" s="327"/>
      <c r="Z13" s="327"/>
      <c r="AA13" s="327"/>
      <c r="AB13" s="327"/>
      <c r="AC13" s="328"/>
      <c r="AD13" s="320" t="s">
        <v>366</v>
      </c>
      <c r="AE13" s="320"/>
      <c r="AF13" s="320"/>
      <c r="AG13" s="320"/>
      <c r="AH13" s="320"/>
      <c r="AI13" s="320"/>
      <c r="AJ13" s="320"/>
      <c r="AK13" s="320"/>
      <c r="AL13" s="326" t="s">
        <v>414</v>
      </c>
      <c r="AM13" s="327"/>
      <c r="AN13" s="327"/>
      <c r="AO13" s="327"/>
      <c r="AP13" s="327"/>
      <c r="AQ13" s="327"/>
      <c r="AR13" s="327"/>
      <c r="AS13" s="328"/>
      <c r="AT13" s="324" t="s">
        <v>288</v>
      </c>
    </row>
    <row r="14" spans="1:46" s="88" customFormat="1" ht="40.5" customHeight="1" x14ac:dyDescent="0.25">
      <c r="A14" s="322"/>
      <c r="B14" s="322"/>
      <c r="C14" s="324"/>
      <c r="D14" s="321" t="s">
        <v>7</v>
      </c>
      <c r="E14" s="321" t="s">
        <v>12</v>
      </c>
      <c r="F14" s="321" t="s">
        <v>40</v>
      </c>
      <c r="G14" s="321" t="s">
        <v>41</v>
      </c>
      <c r="H14" s="324"/>
      <c r="I14" s="324"/>
      <c r="J14" s="320" t="s">
        <v>285</v>
      </c>
      <c r="K14" s="320"/>
      <c r="L14" s="320" t="s">
        <v>286</v>
      </c>
      <c r="M14" s="320"/>
      <c r="N14" s="320" t="s">
        <v>287</v>
      </c>
      <c r="O14" s="320"/>
      <c r="P14" s="320" t="s">
        <v>13</v>
      </c>
      <c r="Q14" s="320"/>
      <c r="R14" s="320" t="s">
        <v>297</v>
      </c>
      <c r="S14" s="320"/>
      <c r="T14" s="320"/>
      <c r="U14" s="320" t="s">
        <v>298</v>
      </c>
      <c r="V14" s="320"/>
      <c r="W14" s="320"/>
      <c r="X14" s="320" t="s">
        <v>299</v>
      </c>
      <c r="Y14" s="320"/>
      <c r="Z14" s="320"/>
      <c r="AA14" s="320" t="s">
        <v>13</v>
      </c>
      <c r="AB14" s="320"/>
      <c r="AC14" s="320"/>
      <c r="AD14" s="320" t="s">
        <v>363</v>
      </c>
      <c r="AE14" s="320"/>
      <c r="AF14" s="320" t="s">
        <v>364</v>
      </c>
      <c r="AG14" s="320"/>
      <c r="AH14" s="320" t="s">
        <v>365</v>
      </c>
      <c r="AI14" s="320"/>
      <c r="AJ14" s="320" t="s">
        <v>13</v>
      </c>
      <c r="AK14" s="320"/>
      <c r="AL14" s="320" t="s">
        <v>415</v>
      </c>
      <c r="AM14" s="320"/>
      <c r="AN14" s="320" t="s">
        <v>416</v>
      </c>
      <c r="AO14" s="320"/>
      <c r="AP14" s="320" t="s">
        <v>417</v>
      </c>
      <c r="AQ14" s="320"/>
      <c r="AR14" s="320" t="s">
        <v>13</v>
      </c>
      <c r="AS14" s="320"/>
      <c r="AT14" s="324"/>
    </row>
    <row r="15" spans="1:46" s="88" customFormat="1" ht="80.25" customHeight="1" x14ac:dyDescent="0.25">
      <c r="A15" s="323"/>
      <c r="B15" s="323"/>
      <c r="C15" s="324"/>
      <c r="D15" s="323"/>
      <c r="E15" s="323"/>
      <c r="F15" s="323"/>
      <c r="G15" s="323"/>
      <c r="H15" s="324"/>
      <c r="I15" s="324"/>
      <c r="J15" s="94" t="s">
        <v>7</v>
      </c>
      <c r="K15" s="94" t="s">
        <v>12</v>
      </c>
      <c r="L15" s="94" t="s">
        <v>7</v>
      </c>
      <c r="M15" s="94" t="s">
        <v>12</v>
      </c>
      <c r="N15" s="94" t="s">
        <v>7</v>
      </c>
      <c r="O15" s="94" t="s">
        <v>12</v>
      </c>
      <c r="P15" s="94" t="s">
        <v>7</v>
      </c>
      <c r="Q15" s="94" t="s">
        <v>12</v>
      </c>
      <c r="R15" s="94" t="s">
        <v>7</v>
      </c>
      <c r="S15" s="94" t="s">
        <v>12</v>
      </c>
      <c r="T15" s="94" t="s">
        <v>302</v>
      </c>
      <c r="U15" s="94" t="s">
        <v>7</v>
      </c>
      <c r="V15" s="94" t="s">
        <v>12</v>
      </c>
      <c r="W15" s="94" t="s">
        <v>302</v>
      </c>
      <c r="X15" s="94" t="s">
        <v>7</v>
      </c>
      <c r="Y15" s="94" t="s">
        <v>12</v>
      </c>
      <c r="Z15" s="94" t="s">
        <v>302</v>
      </c>
      <c r="AA15" s="94" t="s">
        <v>7</v>
      </c>
      <c r="AB15" s="94" t="s">
        <v>12</v>
      </c>
      <c r="AC15" s="94" t="s">
        <v>302</v>
      </c>
      <c r="AD15" s="94" t="s">
        <v>7</v>
      </c>
      <c r="AE15" s="94" t="s">
        <v>12</v>
      </c>
      <c r="AF15" s="94" t="s">
        <v>7</v>
      </c>
      <c r="AG15" s="94" t="s">
        <v>12</v>
      </c>
      <c r="AH15" s="94" t="s">
        <v>7</v>
      </c>
      <c r="AI15" s="94" t="s">
        <v>12</v>
      </c>
      <c r="AJ15" s="94" t="s">
        <v>7</v>
      </c>
      <c r="AK15" s="94" t="s">
        <v>12</v>
      </c>
      <c r="AL15" s="94" t="s">
        <v>7</v>
      </c>
      <c r="AM15" s="94" t="s">
        <v>12</v>
      </c>
      <c r="AN15" s="94" t="s">
        <v>7</v>
      </c>
      <c r="AO15" s="94" t="s">
        <v>12</v>
      </c>
      <c r="AP15" s="94" t="s">
        <v>7</v>
      </c>
      <c r="AQ15" s="94" t="s">
        <v>12</v>
      </c>
      <c r="AR15" s="94" t="s">
        <v>7</v>
      </c>
      <c r="AS15" s="94" t="s">
        <v>12</v>
      </c>
      <c r="AT15" s="324"/>
    </row>
    <row r="16" spans="1:46" s="100" customFormat="1" ht="67.5" customHeight="1" x14ac:dyDescent="0.35">
      <c r="A16" s="96">
        <v>1</v>
      </c>
      <c r="B16" s="86" t="s">
        <v>22</v>
      </c>
      <c r="C16" s="97">
        <f>D16+E16+F16+G16</f>
        <v>157735</v>
      </c>
      <c r="D16" s="97">
        <f>143160+13075+1500</f>
        <v>157735</v>
      </c>
      <c r="E16" s="97"/>
      <c r="F16" s="97"/>
      <c r="G16" s="97"/>
      <c r="H16" s="86" t="s">
        <v>45</v>
      </c>
      <c r="I16" s="86" t="s">
        <v>46</v>
      </c>
      <c r="J16" s="83">
        <v>13140</v>
      </c>
      <c r="K16" s="98"/>
      <c r="L16" s="83">
        <v>13140</v>
      </c>
      <c r="M16" s="98"/>
      <c r="N16" s="83">
        <v>13140</v>
      </c>
      <c r="O16" s="98"/>
      <c r="P16" s="121">
        <f>J16+L16+N16</f>
        <v>39420</v>
      </c>
      <c r="Q16" s="121">
        <f>K16+M16+O16</f>
        <v>0</v>
      </c>
      <c r="R16" s="84">
        <v>13140</v>
      </c>
      <c r="S16" s="121"/>
      <c r="T16" s="121"/>
      <c r="U16" s="84">
        <v>13140</v>
      </c>
      <c r="V16" s="121"/>
      <c r="W16" s="121"/>
      <c r="X16" s="84">
        <v>13140</v>
      </c>
      <c r="Y16" s="121"/>
      <c r="Z16" s="121"/>
      <c r="AA16" s="121">
        <f>R16+U16+X16</f>
        <v>39420</v>
      </c>
      <c r="AB16" s="121">
        <f>S16+V16+Y16</f>
        <v>0</v>
      </c>
      <c r="AC16" s="121">
        <f>T16+W16+Z16</f>
        <v>0</v>
      </c>
      <c r="AD16" s="84">
        <v>14457.73000000001</v>
      </c>
      <c r="AE16" s="121"/>
      <c r="AF16" s="84">
        <v>11822.270000000004</v>
      </c>
      <c r="AG16" s="121"/>
      <c r="AH16" s="84">
        <v>13140</v>
      </c>
      <c r="AI16" s="121"/>
      <c r="AJ16" s="121">
        <f>AD16+AF16+AH16</f>
        <v>39420.000000000015</v>
      </c>
      <c r="AK16" s="121">
        <f>AE16+AG16+AI16</f>
        <v>0</v>
      </c>
      <c r="AL16" s="85">
        <v>13139.999999999985</v>
      </c>
      <c r="AM16" s="121"/>
      <c r="AN16" s="84">
        <v>13140</v>
      </c>
      <c r="AO16" s="121"/>
      <c r="AP16" s="84">
        <v>13140</v>
      </c>
      <c r="AQ16" s="121"/>
      <c r="AR16" s="121">
        <f>AL16+AN16+AP16</f>
        <v>39419.999999999985</v>
      </c>
      <c r="AS16" s="121">
        <f>AM16+AO16+AQ16</f>
        <v>0</v>
      </c>
      <c r="AT16" s="321" t="s">
        <v>289</v>
      </c>
    </row>
    <row r="17" spans="1:48" s="100" customFormat="1" ht="77.25" customHeight="1" x14ac:dyDescent="0.35">
      <c r="A17" s="96">
        <v>2</v>
      </c>
      <c r="B17" s="86" t="s">
        <v>23</v>
      </c>
      <c r="C17" s="97">
        <f t="shared" ref="C17:C25" si="0">D17+E17+F17+G17</f>
        <v>412918</v>
      </c>
      <c r="D17" s="101">
        <f>396300+35118-18500</f>
        <v>412918</v>
      </c>
      <c r="E17" s="115"/>
      <c r="F17" s="115"/>
      <c r="G17" s="116"/>
      <c r="H17" s="86" t="s">
        <v>45</v>
      </c>
      <c r="I17" s="86" t="s">
        <v>46</v>
      </c>
      <c r="J17" s="83">
        <v>27051.23</v>
      </c>
      <c r="K17" s="98"/>
      <c r="L17" s="83">
        <v>27051.23</v>
      </c>
      <c r="M17" s="98"/>
      <c r="N17" s="83">
        <v>27051.230000000007</v>
      </c>
      <c r="O17" s="98"/>
      <c r="P17" s="121">
        <f t="shared" ref="P17:P25" si="1">J17+L17+N17</f>
        <v>81153.69</v>
      </c>
      <c r="Q17" s="121">
        <f t="shared" ref="Q17:Q25" si="2">K17+M17+O17</f>
        <v>0</v>
      </c>
      <c r="R17" s="84">
        <v>27051.23</v>
      </c>
      <c r="S17" s="121"/>
      <c r="T17" s="121"/>
      <c r="U17" s="84">
        <v>27051.23</v>
      </c>
      <c r="V17" s="121"/>
      <c r="W17" s="121"/>
      <c r="X17" s="84">
        <v>27051.23</v>
      </c>
      <c r="Y17" s="121"/>
      <c r="Z17" s="121"/>
      <c r="AA17" s="121">
        <f t="shared" ref="AA17:AA25" si="3">R17+U17+X17</f>
        <v>81153.69</v>
      </c>
      <c r="AB17" s="121">
        <f t="shared" ref="AB17:AB25" si="4">S17+V17+Y17</f>
        <v>0</v>
      </c>
      <c r="AC17" s="121">
        <f t="shared" ref="AC17:AC25" si="5">T17+W17+Z17</f>
        <v>0</v>
      </c>
      <c r="AD17" s="84">
        <v>55390.339999999982</v>
      </c>
      <c r="AE17" s="121"/>
      <c r="AF17" s="84">
        <v>0</v>
      </c>
      <c r="AG17" s="121"/>
      <c r="AH17" s="84">
        <v>25763.079999999973</v>
      </c>
      <c r="AI17" s="121"/>
      <c r="AJ17" s="121">
        <f t="shared" ref="AJ17:AJ25" si="6">AD17+AF17+AH17</f>
        <v>81153.419999999955</v>
      </c>
      <c r="AK17" s="121">
        <f t="shared" ref="AK17:AK25" si="7">AE17+AG17+AI17</f>
        <v>0</v>
      </c>
      <c r="AL17" s="85">
        <v>21687.619999999995</v>
      </c>
      <c r="AM17" s="121"/>
      <c r="AN17" s="84">
        <v>22840.000000000015</v>
      </c>
      <c r="AO17" s="121"/>
      <c r="AP17" s="84">
        <v>22840.000000000015</v>
      </c>
      <c r="AQ17" s="121"/>
      <c r="AR17" s="121">
        <f t="shared" ref="AR17:AR25" si="8">AL17+AN17+AP17</f>
        <v>67367.620000000024</v>
      </c>
      <c r="AS17" s="121">
        <f t="shared" ref="AS17:AS25" si="9">AM17+AO17+AQ17</f>
        <v>0</v>
      </c>
      <c r="AT17" s="322"/>
    </row>
    <row r="18" spans="1:48" s="100" customFormat="1" ht="77.25" customHeight="1" x14ac:dyDescent="0.35">
      <c r="A18" s="96">
        <v>3</v>
      </c>
      <c r="B18" s="102" t="s">
        <v>74</v>
      </c>
      <c r="C18" s="97">
        <f t="shared" si="0"/>
        <v>59367</v>
      </c>
      <c r="D18" s="101">
        <f>42367+17000</f>
        <v>59367</v>
      </c>
      <c r="E18" s="115"/>
      <c r="F18" s="115"/>
      <c r="G18" s="116"/>
      <c r="H18" s="86" t="s">
        <v>78</v>
      </c>
      <c r="I18" s="86" t="s">
        <v>46</v>
      </c>
      <c r="J18" s="83">
        <v>10170</v>
      </c>
      <c r="K18" s="98"/>
      <c r="L18" s="83">
        <v>0</v>
      </c>
      <c r="M18" s="98"/>
      <c r="N18" s="83">
        <v>0</v>
      </c>
      <c r="O18" s="98"/>
      <c r="P18" s="121">
        <f t="shared" si="1"/>
        <v>10170</v>
      </c>
      <c r="Q18" s="121">
        <f t="shared" si="2"/>
        <v>0</v>
      </c>
      <c r="R18" s="121"/>
      <c r="S18" s="121"/>
      <c r="T18" s="121"/>
      <c r="U18" s="121"/>
      <c r="V18" s="121"/>
      <c r="W18" s="121"/>
      <c r="X18" s="84">
        <v>1230</v>
      </c>
      <c r="Y18" s="121"/>
      <c r="Z18" s="121"/>
      <c r="AA18" s="121">
        <f t="shared" si="3"/>
        <v>1230</v>
      </c>
      <c r="AB18" s="121">
        <f t="shared" si="4"/>
        <v>0</v>
      </c>
      <c r="AC18" s="121">
        <f t="shared" si="5"/>
        <v>0</v>
      </c>
      <c r="AD18" s="84">
        <v>22685</v>
      </c>
      <c r="AE18" s="121"/>
      <c r="AF18" s="84">
        <v>4015</v>
      </c>
      <c r="AG18" s="121"/>
      <c r="AH18" s="84">
        <v>0</v>
      </c>
      <c r="AI18" s="121"/>
      <c r="AJ18" s="121">
        <f t="shared" si="6"/>
        <v>26700</v>
      </c>
      <c r="AK18" s="121">
        <f t="shared" si="7"/>
        <v>0</v>
      </c>
      <c r="AL18" s="85">
        <v>0</v>
      </c>
      <c r="AM18" s="121"/>
      <c r="AN18" s="84">
        <v>0</v>
      </c>
      <c r="AO18" s="121"/>
      <c r="AP18" s="84">
        <v>2520</v>
      </c>
      <c r="AQ18" s="121"/>
      <c r="AR18" s="121">
        <f t="shared" si="8"/>
        <v>2520</v>
      </c>
      <c r="AS18" s="121">
        <f t="shared" si="9"/>
        <v>0</v>
      </c>
      <c r="AT18" s="322"/>
    </row>
    <row r="19" spans="1:48" s="100" customFormat="1" ht="75.75" customHeight="1" x14ac:dyDescent="0.35">
      <c r="A19" s="96">
        <v>4</v>
      </c>
      <c r="B19" s="102" t="s">
        <v>68</v>
      </c>
      <c r="C19" s="97">
        <f t="shared" si="0"/>
        <v>11000</v>
      </c>
      <c r="D19" s="101">
        <f>5000+6000</f>
        <v>11000</v>
      </c>
      <c r="E19" s="115"/>
      <c r="F19" s="115"/>
      <c r="G19" s="116"/>
      <c r="H19" s="86" t="s">
        <v>45</v>
      </c>
      <c r="I19" s="86" t="s">
        <v>46</v>
      </c>
      <c r="J19" s="98"/>
      <c r="K19" s="98"/>
      <c r="L19" s="98"/>
      <c r="M19" s="98"/>
      <c r="N19" s="98"/>
      <c r="O19" s="98"/>
      <c r="P19" s="121">
        <f t="shared" si="1"/>
        <v>0</v>
      </c>
      <c r="Q19" s="121">
        <f t="shared" si="2"/>
        <v>0</v>
      </c>
      <c r="R19" s="121"/>
      <c r="S19" s="121"/>
      <c r="T19" s="121"/>
      <c r="U19" s="121"/>
      <c r="V19" s="121"/>
      <c r="W19" s="121"/>
      <c r="X19" s="121"/>
      <c r="Y19" s="121"/>
      <c r="Z19" s="121"/>
      <c r="AA19" s="121">
        <f t="shared" si="3"/>
        <v>0</v>
      </c>
      <c r="AB19" s="121">
        <f t="shared" si="4"/>
        <v>0</v>
      </c>
      <c r="AC19" s="121">
        <f t="shared" si="5"/>
        <v>0</v>
      </c>
      <c r="AD19" s="121"/>
      <c r="AE19" s="121"/>
      <c r="AF19" s="121"/>
      <c r="AG19" s="121"/>
      <c r="AH19" s="121"/>
      <c r="AI19" s="121"/>
      <c r="AJ19" s="121">
        <f t="shared" si="6"/>
        <v>0</v>
      </c>
      <c r="AK19" s="121">
        <f t="shared" si="7"/>
        <v>0</v>
      </c>
      <c r="AL19" s="85">
        <v>0</v>
      </c>
      <c r="AM19" s="121"/>
      <c r="AN19" s="84">
        <v>0</v>
      </c>
      <c r="AO19" s="121"/>
      <c r="AP19" s="84">
        <v>2505</v>
      </c>
      <c r="AQ19" s="121"/>
      <c r="AR19" s="121">
        <f t="shared" si="8"/>
        <v>2505</v>
      </c>
      <c r="AS19" s="121">
        <f t="shared" si="9"/>
        <v>0</v>
      </c>
      <c r="AT19" s="323"/>
    </row>
    <row r="20" spans="1:48" s="100" customFormat="1" ht="75.75" customHeight="1" x14ac:dyDescent="0.35">
      <c r="A20" s="96">
        <v>5</v>
      </c>
      <c r="B20" s="102" t="s">
        <v>14</v>
      </c>
      <c r="C20" s="97">
        <f t="shared" si="0"/>
        <v>10000</v>
      </c>
      <c r="D20" s="101">
        <v>10000</v>
      </c>
      <c r="E20" s="115"/>
      <c r="F20" s="115"/>
      <c r="G20" s="116"/>
      <c r="H20" s="86" t="s">
        <v>79</v>
      </c>
      <c r="I20" s="86" t="s">
        <v>46</v>
      </c>
      <c r="J20" s="98"/>
      <c r="K20" s="98"/>
      <c r="L20" s="98"/>
      <c r="M20" s="98"/>
      <c r="N20" s="98"/>
      <c r="O20" s="98"/>
      <c r="P20" s="121">
        <f t="shared" si="1"/>
        <v>0</v>
      </c>
      <c r="Q20" s="121">
        <f t="shared" si="2"/>
        <v>0</v>
      </c>
      <c r="R20" s="84">
        <v>1848.8</v>
      </c>
      <c r="S20" s="121"/>
      <c r="T20" s="121"/>
      <c r="U20" s="121"/>
      <c r="V20" s="121"/>
      <c r="W20" s="121"/>
      <c r="X20" s="121"/>
      <c r="Y20" s="121"/>
      <c r="Z20" s="121"/>
      <c r="AA20" s="121">
        <f t="shared" si="3"/>
        <v>1848.8</v>
      </c>
      <c r="AB20" s="121">
        <f t="shared" si="4"/>
        <v>0</v>
      </c>
      <c r="AC20" s="121">
        <f t="shared" si="5"/>
        <v>0</v>
      </c>
      <c r="AD20" s="121"/>
      <c r="AE20" s="121"/>
      <c r="AF20" s="121"/>
      <c r="AG20" s="121"/>
      <c r="AH20" s="121"/>
      <c r="AI20" s="121"/>
      <c r="AJ20" s="121">
        <f t="shared" si="6"/>
        <v>0</v>
      </c>
      <c r="AK20" s="121">
        <f t="shared" si="7"/>
        <v>0</v>
      </c>
      <c r="AL20" s="85"/>
      <c r="AM20" s="121"/>
      <c r="AN20" s="84">
        <v>3545.08</v>
      </c>
      <c r="AO20" s="121"/>
      <c r="AP20" s="84">
        <v>159</v>
      </c>
      <c r="AQ20" s="121"/>
      <c r="AR20" s="121">
        <f t="shared" si="8"/>
        <v>3704.08</v>
      </c>
      <c r="AS20" s="121">
        <f t="shared" si="9"/>
        <v>0</v>
      </c>
      <c r="AT20" s="86" t="s">
        <v>293</v>
      </c>
      <c r="AV20" s="122"/>
    </row>
    <row r="21" spans="1:48" s="100" customFormat="1" ht="154.5" customHeight="1" x14ac:dyDescent="0.35">
      <c r="A21" s="96">
        <v>6</v>
      </c>
      <c r="B21" s="86" t="s">
        <v>48</v>
      </c>
      <c r="C21" s="97">
        <f t="shared" si="0"/>
        <v>10000</v>
      </c>
      <c r="D21" s="101">
        <v>10000</v>
      </c>
      <c r="E21" s="115"/>
      <c r="F21" s="115"/>
      <c r="G21" s="116"/>
      <c r="H21" s="86" t="s">
        <v>47</v>
      </c>
      <c r="I21" s="86" t="s">
        <v>24</v>
      </c>
      <c r="J21" s="98"/>
      <c r="K21" s="98"/>
      <c r="L21" s="98"/>
      <c r="M21" s="98"/>
      <c r="N21" s="83">
        <v>1000</v>
      </c>
      <c r="O21" s="98"/>
      <c r="P21" s="121">
        <f t="shared" si="1"/>
        <v>1000</v>
      </c>
      <c r="Q21" s="121">
        <f t="shared" si="2"/>
        <v>0</v>
      </c>
      <c r="R21" s="84">
        <v>1000</v>
      </c>
      <c r="S21" s="121"/>
      <c r="T21" s="121"/>
      <c r="U21" s="121"/>
      <c r="V21" s="121"/>
      <c r="W21" s="121"/>
      <c r="X21" s="121"/>
      <c r="Y21" s="121"/>
      <c r="Z21" s="121"/>
      <c r="AA21" s="121">
        <f t="shared" si="3"/>
        <v>1000</v>
      </c>
      <c r="AB21" s="121">
        <f t="shared" si="4"/>
        <v>0</v>
      </c>
      <c r="AC21" s="121">
        <f t="shared" si="5"/>
        <v>0</v>
      </c>
      <c r="AD21" s="121"/>
      <c r="AE21" s="121"/>
      <c r="AF21" s="121"/>
      <c r="AG21" s="121"/>
      <c r="AH21" s="84">
        <v>2000</v>
      </c>
      <c r="AI21" s="121"/>
      <c r="AJ21" s="121">
        <f t="shared" si="6"/>
        <v>2000</v>
      </c>
      <c r="AK21" s="121">
        <f t="shared" si="7"/>
        <v>0</v>
      </c>
      <c r="AL21" s="85"/>
      <c r="AM21" s="121"/>
      <c r="AN21" s="84"/>
      <c r="AO21" s="121"/>
      <c r="AP21" s="84"/>
      <c r="AQ21" s="121"/>
      <c r="AR21" s="121">
        <f t="shared" si="8"/>
        <v>0</v>
      </c>
      <c r="AS21" s="121">
        <f t="shared" si="9"/>
        <v>0</v>
      </c>
      <c r="AT21" s="86" t="s">
        <v>292</v>
      </c>
    </row>
    <row r="22" spans="1:48" s="100" customFormat="1" ht="154.5" customHeight="1" x14ac:dyDescent="0.35">
      <c r="A22" s="96">
        <v>7</v>
      </c>
      <c r="B22" s="86" t="s">
        <v>111</v>
      </c>
      <c r="C22" s="97">
        <f t="shared" si="0"/>
        <v>61500</v>
      </c>
      <c r="D22" s="101">
        <f>95500-5000-10000-14000-5000</f>
        <v>61500</v>
      </c>
      <c r="E22" s="115"/>
      <c r="F22" s="115"/>
      <c r="G22" s="116"/>
      <c r="H22" s="86" t="s">
        <v>69</v>
      </c>
      <c r="I22" s="86" t="s">
        <v>98</v>
      </c>
      <c r="J22" s="98"/>
      <c r="K22" s="98"/>
      <c r="L22" s="98"/>
      <c r="M22" s="98"/>
      <c r="N22" s="98"/>
      <c r="O22" s="98"/>
      <c r="P22" s="121">
        <f t="shared" si="1"/>
        <v>0</v>
      </c>
      <c r="Q22" s="121">
        <f t="shared" si="2"/>
        <v>0</v>
      </c>
      <c r="R22" s="121"/>
      <c r="S22" s="121"/>
      <c r="T22" s="121"/>
      <c r="U22" s="121"/>
      <c r="V22" s="121"/>
      <c r="W22" s="121"/>
      <c r="X22" s="84"/>
      <c r="Y22" s="121"/>
      <c r="Z22" s="121"/>
      <c r="AA22" s="121">
        <f t="shared" si="3"/>
        <v>0</v>
      </c>
      <c r="AB22" s="121">
        <f t="shared" si="4"/>
        <v>0</v>
      </c>
      <c r="AC22" s="121">
        <f t="shared" si="5"/>
        <v>0</v>
      </c>
      <c r="AD22" s="121"/>
      <c r="AE22" s="121"/>
      <c r="AF22" s="121"/>
      <c r="AG22" s="121"/>
      <c r="AH22" s="121"/>
      <c r="AI22" s="121"/>
      <c r="AJ22" s="121">
        <f t="shared" si="6"/>
        <v>0</v>
      </c>
      <c r="AK22" s="121">
        <f t="shared" si="7"/>
        <v>0</v>
      </c>
      <c r="AL22" s="85">
        <v>0</v>
      </c>
      <c r="AM22" s="121"/>
      <c r="AN22" s="84">
        <v>0</v>
      </c>
      <c r="AO22" s="121"/>
      <c r="AP22" s="84">
        <v>0</v>
      </c>
      <c r="AQ22" s="121"/>
      <c r="AR22" s="121">
        <f t="shared" si="8"/>
        <v>0</v>
      </c>
      <c r="AS22" s="121">
        <f t="shared" si="9"/>
        <v>0</v>
      </c>
      <c r="AT22" s="98"/>
    </row>
    <row r="23" spans="1:48" s="100" customFormat="1" ht="129.6" customHeight="1" x14ac:dyDescent="0.35">
      <c r="A23" s="96">
        <v>8</v>
      </c>
      <c r="B23" s="86" t="s">
        <v>106</v>
      </c>
      <c r="C23" s="97">
        <f t="shared" si="0"/>
        <v>69500</v>
      </c>
      <c r="D23" s="101">
        <f>69500</f>
        <v>69500</v>
      </c>
      <c r="E23" s="115"/>
      <c r="F23" s="115"/>
      <c r="G23" s="116"/>
      <c r="H23" s="86" t="s">
        <v>69</v>
      </c>
      <c r="I23" s="86" t="s">
        <v>49</v>
      </c>
      <c r="J23" s="98"/>
      <c r="K23" s="98"/>
      <c r="L23" s="98"/>
      <c r="M23" s="98"/>
      <c r="N23" s="98"/>
      <c r="O23" s="98"/>
      <c r="P23" s="121">
        <f t="shared" si="1"/>
        <v>0</v>
      </c>
      <c r="Q23" s="121">
        <f t="shared" si="2"/>
        <v>0</v>
      </c>
      <c r="R23" s="121"/>
      <c r="S23" s="121"/>
      <c r="T23" s="121"/>
      <c r="U23" s="84">
        <v>25864</v>
      </c>
      <c r="V23" s="121"/>
      <c r="W23" s="121"/>
      <c r="X23" s="121">
        <v>160</v>
      </c>
      <c r="Y23" s="121"/>
      <c r="Z23" s="121"/>
      <c r="AA23" s="121">
        <f t="shared" si="3"/>
        <v>26024</v>
      </c>
      <c r="AB23" s="121">
        <f t="shared" si="4"/>
        <v>0</v>
      </c>
      <c r="AC23" s="121"/>
      <c r="AD23" s="121"/>
      <c r="AE23" s="121"/>
      <c r="AF23" s="121"/>
      <c r="AG23" s="121"/>
      <c r="AH23" s="121"/>
      <c r="AI23" s="121"/>
      <c r="AJ23" s="121">
        <f t="shared" si="6"/>
        <v>0</v>
      </c>
      <c r="AK23" s="121">
        <f t="shared" si="7"/>
        <v>0</v>
      </c>
      <c r="AL23" s="121"/>
      <c r="AM23" s="121"/>
      <c r="AN23" s="121"/>
      <c r="AO23" s="121"/>
      <c r="AP23" s="121"/>
      <c r="AQ23" s="121"/>
      <c r="AR23" s="121">
        <f t="shared" si="8"/>
        <v>0</v>
      </c>
      <c r="AS23" s="121">
        <f t="shared" si="9"/>
        <v>0</v>
      </c>
      <c r="AT23" s="86" t="s">
        <v>345</v>
      </c>
    </row>
    <row r="24" spans="1:48" s="100" customFormat="1" ht="146.25" customHeight="1" x14ac:dyDescent="0.35">
      <c r="A24" s="96">
        <v>9</v>
      </c>
      <c r="B24" s="86" t="s">
        <v>91</v>
      </c>
      <c r="C24" s="97">
        <f t="shared" si="0"/>
        <v>105000</v>
      </c>
      <c r="D24" s="101">
        <v>15000</v>
      </c>
      <c r="E24" s="115">
        <v>90000</v>
      </c>
      <c r="F24" s="115"/>
      <c r="G24" s="116"/>
      <c r="H24" s="86" t="s">
        <v>82</v>
      </c>
      <c r="I24" s="86" t="s">
        <v>83</v>
      </c>
      <c r="J24" s="98"/>
      <c r="K24" s="98"/>
      <c r="L24" s="98"/>
      <c r="M24" s="98"/>
      <c r="N24" s="98"/>
      <c r="O24" s="98"/>
      <c r="P24" s="121">
        <f t="shared" si="1"/>
        <v>0</v>
      </c>
      <c r="Q24" s="121">
        <f t="shared" si="2"/>
        <v>0</v>
      </c>
      <c r="R24" s="84">
        <v>14834.94</v>
      </c>
      <c r="S24" s="121"/>
      <c r="T24" s="121"/>
      <c r="U24" s="121"/>
      <c r="V24" s="121"/>
      <c r="W24" s="121"/>
      <c r="X24" s="121"/>
      <c r="Y24" s="103">
        <v>83720</v>
      </c>
      <c r="Z24" s="121"/>
      <c r="AA24" s="121">
        <f t="shared" si="3"/>
        <v>14834.94</v>
      </c>
      <c r="AB24" s="121">
        <f t="shared" si="4"/>
        <v>83720</v>
      </c>
      <c r="AC24" s="121">
        <f t="shared" si="5"/>
        <v>0</v>
      </c>
      <c r="AD24" s="121"/>
      <c r="AE24" s="121"/>
      <c r="AF24" s="121"/>
      <c r="AG24" s="121"/>
      <c r="AH24" s="121"/>
      <c r="AI24" s="121"/>
      <c r="AJ24" s="121">
        <f t="shared" si="6"/>
        <v>0</v>
      </c>
      <c r="AK24" s="121">
        <f t="shared" si="7"/>
        <v>0</v>
      </c>
      <c r="AL24" s="121"/>
      <c r="AM24" s="121"/>
      <c r="AN24" s="121"/>
      <c r="AO24" s="121"/>
      <c r="AP24" s="121"/>
      <c r="AQ24" s="121"/>
      <c r="AR24" s="121">
        <f t="shared" si="8"/>
        <v>0</v>
      </c>
      <c r="AS24" s="121">
        <f t="shared" si="9"/>
        <v>0</v>
      </c>
      <c r="AT24" s="86" t="s">
        <v>346</v>
      </c>
    </row>
    <row r="25" spans="1:48" s="100" customFormat="1" ht="146.25" customHeight="1" x14ac:dyDescent="0.35">
      <c r="A25" s="96">
        <v>10</v>
      </c>
      <c r="B25" s="86" t="s">
        <v>283</v>
      </c>
      <c r="C25" s="97">
        <f t="shared" si="0"/>
        <v>5000</v>
      </c>
      <c r="D25" s="101">
        <v>5000</v>
      </c>
      <c r="E25" s="101"/>
      <c r="F25" s="101"/>
      <c r="G25" s="97"/>
      <c r="H25" s="86" t="s">
        <v>281</v>
      </c>
      <c r="I25" s="86" t="s">
        <v>282</v>
      </c>
      <c r="J25" s="98"/>
      <c r="K25" s="98"/>
      <c r="L25" s="98"/>
      <c r="M25" s="98"/>
      <c r="N25" s="98"/>
      <c r="O25" s="98"/>
      <c r="P25" s="121">
        <f t="shared" si="1"/>
        <v>0</v>
      </c>
      <c r="Q25" s="121">
        <f t="shared" si="2"/>
        <v>0</v>
      </c>
      <c r="R25" s="84">
        <v>539.98</v>
      </c>
      <c r="S25" s="121"/>
      <c r="T25" s="121"/>
      <c r="U25" s="121"/>
      <c r="V25" s="121"/>
      <c r="W25" s="121"/>
      <c r="X25" s="121"/>
      <c r="Y25" s="121"/>
      <c r="Z25" s="121"/>
      <c r="AA25" s="121">
        <f t="shared" si="3"/>
        <v>539.98</v>
      </c>
      <c r="AB25" s="121">
        <f t="shared" si="4"/>
        <v>0</v>
      </c>
      <c r="AC25" s="121">
        <f t="shared" si="5"/>
        <v>0</v>
      </c>
      <c r="AD25" s="121"/>
      <c r="AE25" s="121"/>
      <c r="AF25" s="121"/>
      <c r="AG25" s="121"/>
      <c r="AH25" s="121"/>
      <c r="AI25" s="121"/>
      <c r="AJ25" s="121">
        <f t="shared" si="6"/>
        <v>0</v>
      </c>
      <c r="AK25" s="121">
        <f t="shared" si="7"/>
        <v>0</v>
      </c>
      <c r="AL25" s="121"/>
      <c r="AM25" s="121"/>
      <c r="AN25" s="121"/>
      <c r="AO25" s="121"/>
      <c r="AP25" s="121"/>
      <c r="AQ25" s="121"/>
      <c r="AR25" s="121">
        <f t="shared" si="8"/>
        <v>0</v>
      </c>
      <c r="AS25" s="121">
        <f t="shared" si="9"/>
        <v>0</v>
      </c>
      <c r="AT25" s="86" t="s">
        <v>356</v>
      </c>
    </row>
    <row r="26" spans="1:48" s="105" customFormat="1" ht="21" customHeight="1" x14ac:dyDescent="0.35">
      <c r="A26" s="90"/>
      <c r="B26" s="90" t="s">
        <v>13</v>
      </c>
      <c r="C26" s="92">
        <f>D26+E26+F26+G26</f>
        <v>902020</v>
      </c>
      <c r="D26" s="92">
        <f>SUM(D16:D25)</f>
        <v>812020</v>
      </c>
      <c r="E26" s="92">
        <f>SUM(E16:E25)</f>
        <v>90000</v>
      </c>
      <c r="F26" s="92">
        <f>SUM(F16:F24)</f>
        <v>0</v>
      </c>
      <c r="G26" s="92">
        <f>SUM(G16:G24)</f>
        <v>0</v>
      </c>
      <c r="J26" s="93">
        <f>SUM(J16:J25)</f>
        <v>50361.229999999996</v>
      </c>
      <c r="K26" s="93">
        <f t="shared" ref="K26:O26" si="10">SUM(K16:K25)</f>
        <v>0</v>
      </c>
      <c r="L26" s="93">
        <f t="shared" si="10"/>
        <v>40191.229999999996</v>
      </c>
      <c r="M26" s="93">
        <f t="shared" si="10"/>
        <v>0</v>
      </c>
      <c r="N26" s="93">
        <f t="shared" si="10"/>
        <v>41191.23000000001</v>
      </c>
      <c r="O26" s="93">
        <f t="shared" si="10"/>
        <v>0</v>
      </c>
      <c r="P26" s="123">
        <f>SUM(P16:P25)</f>
        <v>131743.69</v>
      </c>
      <c r="Q26" s="93">
        <f>SUM(Q16:Q25)</f>
        <v>0</v>
      </c>
      <c r="R26" s="93">
        <f>SUM(R16:R25)</f>
        <v>58414.950000000004</v>
      </c>
      <c r="S26" s="93">
        <f t="shared" ref="S26:Z26" si="11">SUM(S16:S25)</f>
        <v>0</v>
      </c>
      <c r="T26" s="93">
        <f t="shared" si="11"/>
        <v>0</v>
      </c>
      <c r="U26" s="93">
        <f t="shared" si="11"/>
        <v>66055.23</v>
      </c>
      <c r="V26" s="93">
        <f t="shared" si="11"/>
        <v>0</v>
      </c>
      <c r="W26" s="93">
        <f t="shared" si="11"/>
        <v>0</v>
      </c>
      <c r="X26" s="93">
        <f t="shared" si="11"/>
        <v>41581.229999999996</v>
      </c>
      <c r="Y26" s="93">
        <f t="shared" si="11"/>
        <v>83720</v>
      </c>
      <c r="Z26" s="93">
        <f t="shared" si="11"/>
        <v>0</v>
      </c>
      <c r="AA26" s="93">
        <f>SUM(AA16:AA25)</f>
        <v>166051.41</v>
      </c>
      <c r="AB26" s="93">
        <f t="shared" ref="AB26:AC26" si="12">SUM(AB16:AB25)</f>
        <v>83720</v>
      </c>
      <c r="AC26" s="93">
        <f t="shared" si="12"/>
        <v>0</v>
      </c>
      <c r="AD26" s="93">
        <f>SUM(AD16:AD25)</f>
        <v>92533.069999999992</v>
      </c>
      <c r="AE26" s="93">
        <f t="shared" ref="AE26:AK26" si="13">SUM(AE16:AE25)</f>
        <v>0</v>
      </c>
      <c r="AF26" s="93">
        <f t="shared" si="13"/>
        <v>15837.270000000004</v>
      </c>
      <c r="AG26" s="93">
        <f t="shared" si="13"/>
        <v>0</v>
      </c>
      <c r="AH26" s="93">
        <f t="shared" si="13"/>
        <v>40903.079999999973</v>
      </c>
      <c r="AI26" s="93">
        <f t="shared" si="13"/>
        <v>0</v>
      </c>
      <c r="AJ26" s="93">
        <f t="shared" si="13"/>
        <v>149273.41999999998</v>
      </c>
      <c r="AK26" s="93">
        <f t="shared" si="13"/>
        <v>0</v>
      </c>
      <c r="AL26" s="93">
        <f>SUM(AL16:AL25)</f>
        <v>34827.619999999981</v>
      </c>
      <c r="AM26" s="93">
        <f t="shared" ref="AM26:AS26" si="14">SUM(AM16:AM25)</f>
        <v>0</v>
      </c>
      <c r="AN26" s="93">
        <f t="shared" si="14"/>
        <v>39525.080000000016</v>
      </c>
      <c r="AO26" s="93">
        <f t="shared" si="14"/>
        <v>0</v>
      </c>
      <c r="AP26" s="93">
        <f t="shared" si="14"/>
        <v>41164.000000000015</v>
      </c>
      <c r="AQ26" s="93">
        <f t="shared" si="14"/>
        <v>0</v>
      </c>
      <c r="AR26" s="93">
        <f t="shared" si="14"/>
        <v>115516.70000000001</v>
      </c>
      <c r="AS26" s="93">
        <f t="shared" si="14"/>
        <v>0</v>
      </c>
    </row>
    <row r="27" spans="1:48" s="100" customFormat="1" ht="18" x14ac:dyDescent="0.35">
      <c r="A27" s="87"/>
      <c r="D27" s="87"/>
      <c r="F27" s="87"/>
      <c r="G27" s="89"/>
    </row>
    <row r="28" spans="1:48" s="100" customFormat="1" ht="18" x14ac:dyDescent="0.35">
      <c r="A28" s="87"/>
      <c r="D28" s="87"/>
      <c r="E28" s="87"/>
      <c r="F28" s="87"/>
      <c r="G28" s="87"/>
    </row>
    <row r="29" spans="1:48" s="100" customFormat="1" ht="18" x14ac:dyDescent="0.35">
      <c r="A29" s="87"/>
      <c r="D29" s="87"/>
      <c r="E29" s="87"/>
      <c r="F29" s="87"/>
      <c r="G29" s="87"/>
    </row>
    <row r="30" spans="1:48" s="100" customFormat="1" ht="18" x14ac:dyDescent="0.35">
      <c r="A30" s="87"/>
      <c r="D30" s="87"/>
      <c r="E30" s="87"/>
      <c r="F30" s="87"/>
      <c r="G30" s="87"/>
    </row>
    <row r="31" spans="1:48" s="100" customFormat="1" ht="18" x14ac:dyDescent="0.35">
      <c r="A31" s="87"/>
      <c r="D31" s="87"/>
      <c r="E31" s="87"/>
      <c r="F31" s="87"/>
      <c r="G31" s="87"/>
    </row>
    <row r="32" spans="1:48" s="100" customFormat="1" ht="18" x14ac:dyDescent="0.35">
      <c r="A32" s="87"/>
      <c r="D32" s="87"/>
      <c r="E32" s="87"/>
      <c r="F32" s="87"/>
      <c r="G32" s="87"/>
    </row>
    <row r="33" spans="1:7" s="100" customFormat="1" ht="18" x14ac:dyDescent="0.35">
      <c r="A33" s="87"/>
      <c r="D33" s="87"/>
      <c r="E33" s="87"/>
      <c r="F33" s="87"/>
      <c r="G33" s="87"/>
    </row>
  </sheetData>
  <mergeCells count="42">
    <mergeCell ref="AL13:AS13"/>
    <mergeCell ref="AL14:AM14"/>
    <mergeCell ref="AN14:AO14"/>
    <mergeCell ref="AP14:AQ14"/>
    <mergeCell ref="AR14:AS14"/>
    <mergeCell ref="AT16:AT19"/>
    <mergeCell ref="A1:I1"/>
    <mergeCell ref="B2:I2"/>
    <mergeCell ref="B3:I3"/>
    <mergeCell ref="B5:I5"/>
    <mergeCell ref="A6:I6"/>
    <mergeCell ref="A7:H7"/>
    <mergeCell ref="I13:I15"/>
    <mergeCell ref="A13:A15"/>
    <mergeCell ref="B13:B15"/>
    <mergeCell ref="C13:C15"/>
    <mergeCell ref="D13:G13"/>
    <mergeCell ref="H13:H15"/>
    <mergeCell ref="D14:D15"/>
    <mergeCell ref="E14:E15"/>
    <mergeCell ref="F14:F15"/>
    <mergeCell ref="G14:G15"/>
    <mergeCell ref="A11:I11"/>
    <mergeCell ref="A8:G8"/>
    <mergeCell ref="B9:G9"/>
    <mergeCell ref="A10:I10"/>
    <mergeCell ref="AT13:AT15"/>
    <mergeCell ref="J14:K14"/>
    <mergeCell ref="L14:M14"/>
    <mergeCell ref="N14:O14"/>
    <mergeCell ref="P14:Q14"/>
    <mergeCell ref="J13:Q13"/>
    <mergeCell ref="R14:T14"/>
    <mergeCell ref="U14:W14"/>
    <mergeCell ref="X14:Z14"/>
    <mergeCell ref="AA14:AC14"/>
    <mergeCell ref="R13:AC13"/>
    <mergeCell ref="AD13:AK13"/>
    <mergeCell ref="AD14:AE14"/>
    <mergeCell ref="AF14:AG14"/>
    <mergeCell ref="AH14:AI14"/>
    <mergeCell ref="AJ14:AK14"/>
  </mergeCells>
  <pageMargins left="0.31496062992125984" right="0.31496062992125984" top="0.74803149606299213" bottom="0.15748031496062992" header="0.31496062992125984" footer="0.31496062992125984"/>
  <pageSetup scale="63" orientation="landscape" r:id="rId1"/>
  <rowBreaks count="1" manualBreakCount="1">
    <brk id="17"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P26"/>
  <sheetViews>
    <sheetView topLeftCell="A22" zoomScale="70" zoomScaleNormal="70" zoomScaleSheetLayoutView="85" workbookViewId="0">
      <selection activeCell="B24" sqref="B24"/>
    </sheetView>
  </sheetViews>
  <sheetFormatPr defaultRowHeight="15" x14ac:dyDescent="0.25"/>
  <cols>
    <col min="1" max="1" width="4.875" style="1" customWidth="1"/>
    <col min="2" max="2" width="63.625" style="4" customWidth="1"/>
    <col min="3" max="3" width="12.625" customWidth="1"/>
    <col min="4" max="4" width="15" style="1" customWidth="1"/>
    <col min="5" max="5" width="17" style="1" customWidth="1"/>
    <col min="6" max="6" width="12.625" style="1" customWidth="1"/>
    <col min="7" max="7" width="14" style="1" customWidth="1"/>
    <col min="8" max="8" width="42.125" customWidth="1"/>
    <col min="9" max="9" width="23.25" customWidth="1"/>
    <col min="10" max="15" width="11.625" customWidth="1"/>
    <col min="16" max="25" width="11.625" style="36" customWidth="1"/>
    <col min="26" max="31" width="11.625" style="44" customWidth="1"/>
    <col min="32" max="33" width="11.625" style="36" customWidth="1"/>
    <col min="34" max="41" width="11.625" style="124" customWidth="1"/>
    <col min="42" max="42" width="35.625" customWidth="1"/>
  </cols>
  <sheetData>
    <row r="1" spans="1:42" ht="36" customHeight="1" x14ac:dyDescent="0.25">
      <c r="A1" s="331" t="s">
        <v>61</v>
      </c>
      <c r="B1" s="331"/>
      <c r="C1" s="331"/>
      <c r="D1" s="331"/>
      <c r="E1" s="331"/>
      <c r="F1" s="331"/>
      <c r="G1" s="331"/>
      <c r="H1" s="331"/>
      <c r="I1" s="331"/>
    </row>
    <row r="2" spans="1:42" ht="51.75" customHeight="1" x14ac:dyDescent="0.25">
      <c r="A2" s="108"/>
      <c r="B2" s="332" t="s">
        <v>0</v>
      </c>
      <c r="C2" s="332"/>
      <c r="D2" s="332"/>
      <c r="E2" s="332"/>
      <c r="F2" s="332"/>
      <c r="G2" s="332"/>
      <c r="H2" s="332"/>
      <c r="I2" s="332"/>
    </row>
    <row r="3" spans="1:42" ht="55.5" customHeight="1" x14ac:dyDescent="0.25">
      <c r="A3" s="108"/>
      <c r="B3" s="333" t="s">
        <v>34</v>
      </c>
      <c r="C3" s="333"/>
      <c r="D3" s="333"/>
      <c r="E3" s="333"/>
      <c r="F3" s="333"/>
      <c r="G3" s="333"/>
      <c r="H3" s="333"/>
      <c r="I3" s="333"/>
    </row>
    <row r="4" spans="1:42" ht="9" customHeight="1" x14ac:dyDescent="0.3">
      <c r="A4" s="108"/>
      <c r="B4" s="109"/>
      <c r="C4" s="9"/>
      <c r="D4" s="108"/>
      <c r="E4" s="108"/>
      <c r="F4" s="108"/>
      <c r="G4" s="108"/>
      <c r="H4" s="9"/>
      <c r="I4" s="9"/>
    </row>
    <row r="5" spans="1:42" ht="125.45" customHeight="1" x14ac:dyDescent="0.25">
      <c r="A5" s="10"/>
      <c r="B5" s="332" t="s">
        <v>455</v>
      </c>
      <c r="C5" s="332"/>
      <c r="D5" s="332"/>
      <c r="E5" s="332"/>
      <c r="F5" s="332"/>
      <c r="G5" s="332"/>
      <c r="H5" s="332"/>
      <c r="I5" s="332"/>
    </row>
    <row r="6" spans="1:42" ht="192.6" customHeight="1" x14ac:dyDescent="0.25">
      <c r="A6" s="351" t="s">
        <v>456</v>
      </c>
      <c r="B6" s="351"/>
      <c r="C6" s="351"/>
      <c r="D6" s="351"/>
      <c r="E6" s="351"/>
      <c r="F6" s="351"/>
      <c r="G6" s="351"/>
      <c r="H6" s="351"/>
      <c r="I6" s="351"/>
    </row>
    <row r="7" spans="1:42" ht="36.75" customHeight="1" x14ac:dyDescent="0.25">
      <c r="A7" s="329" t="s">
        <v>35</v>
      </c>
      <c r="B7" s="329"/>
      <c r="C7" s="329"/>
      <c r="D7" s="329"/>
      <c r="E7" s="329"/>
      <c r="F7" s="329"/>
      <c r="G7" s="329"/>
      <c r="H7" s="7" t="s">
        <v>52</v>
      </c>
      <c r="I7" s="6"/>
    </row>
    <row r="8" spans="1:42" ht="34.5" customHeight="1" x14ac:dyDescent="0.25">
      <c r="A8" s="8"/>
      <c r="B8" s="329" t="s">
        <v>36</v>
      </c>
      <c r="C8" s="329"/>
      <c r="D8" s="329"/>
      <c r="E8" s="329"/>
      <c r="F8" s="329"/>
      <c r="G8" s="329"/>
      <c r="H8" s="8" t="s">
        <v>67</v>
      </c>
      <c r="I8" s="6"/>
    </row>
    <row r="9" spans="1:42" ht="1.5" customHeight="1" x14ac:dyDescent="0.3">
      <c r="A9" s="352"/>
      <c r="B9" s="352"/>
      <c r="C9" s="352"/>
      <c r="D9" s="352"/>
      <c r="E9" s="352"/>
      <c r="F9" s="352"/>
      <c r="G9" s="352"/>
      <c r="H9" s="352"/>
      <c r="I9" s="9"/>
    </row>
    <row r="10" spans="1:42" ht="28.5" customHeight="1" x14ac:dyDescent="0.25">
      <c r="A10" s="329" t="s">
        <v>6</v>
      </c>
      <c r="B10" s="329"/>
      <c r="C10" s="329"/>
      <c r="D10" s="329"/>
      <c r="E10" s="329"/>
      <c r="F10" s="329"/>
      <c r="G10" s="329"/>
      <c r="H10" s="329"/>
      <c r="I10" s="329"/>
    </row>
    <row r="11" spans="1:42" x14ac:dyDescent="0.25">
      <c r="A11" s="2"/>
      <c r="B11" s="12"/>
      <c r="C11" s="2"/>
      <c r="D11" s="2"/>
      <c r="E11" s="2"/>
      <c r="F11" s="2"/>
      <c r="G11" s="2"/>
      <c r="H11" s="2"/>
      <c r="I11" s="2"/>
    </row>
    <row r="13" spans="1:42" s="111" customFormat="1" ht="40.5" customHeight="1" x14ac:dyDescent="0.25">
      <c r="A13" s="334" t="s">
        <v>1</v>
      </c>
      <c r="B13" s="334" t="s">
        <v>42</v>
      </c>
      <c r="C13" s="320" t="s">
        <v>2</v>
      </c>
      <c r="D13" s="320" t="s">
        <v>43</v>
      </c>
      <c r="E13" s="320"/>
      <c r="F13" s="320"/>
      <c r="G13" s="320"/>
      <c r="H13" s="334" t="s">
        <v>16</v>
      </c>
      <c r="I13" s="320" t="s">
        <v>3</v>
      </c>
      <c r="J13" s="320" t="s">
        <v>301</v>
      </c>
      <c r="K13" s="320"/>
      <c r="L13" s="320"/>
      <c r="M13" s="320"/>
      <c r="N13" s="320"/>
      <c r="O13" s="320"/>
      <c r="P13" s="320"/>
      <c r="Q13" s="320"/>
      <c r="R13" s="326" t="s">
        <v>300</v>
      </c>
      <c r="S13" s="327"/>
      <c r="T13" s="327"/>
      <c r="U13" s="327"/>
      <c r="V13" s="327"/>
      <c r="W13" s="327"/>
      <c r="X13" s="327"/>
      <c r="Y13" s="328"/>
      <c r="Z13" s="326" t="s">
        <v>366</v>
      </c>
      <c r="AA13" s="327"/>
      <c r="AB13" s="327"/>
      <c r="AC13" s="327"/>
      <c r="AD13" s="327"/>
      <c r="AE13" s="327"/>
      <c r="AF13" s="327"/>
      <c r="AG13" s="328"/>
      <c r="AH13" s="326" t="s">
        <v>414</v>
      </c>
      <c r="AI13" s="327"/>
      <c r="AJ13" s="327"/>
      <c r="AK13" s="327"/>
      <c r="AL13" s="327"/>
      <c r="AM13" s="327"/>
      <c r="AN13" s="327"/>
      <c r="AO13" s="328"/>
      <c r="AP13" s="324" t="s">
        <v>288</v>
      </c>
    </row>
    <row r="14" spans="1:42" s="111" customFormat="1" ht="40.5" customHeight="1" x14ac:dyDescent="0.25">
      <c r="A14" s="335"/>
      <c r="B14" s="335"/>
      <c r="C14" s="320"/>
      <c r="D14" s="334" t="s">
        <v>7</v>
      </c>
      <c r="E14" s="334" t="s">
        <v>12</v>
      </c>
      <c r="F14" s="334" t="s">
        <v>40</v>
      </c>
      <c r="G14" s="334" t="s">
        <v>41</v>
      </c>
      <c r="H14" s="335"/>
      <c r="I14" s="320"/>
      <c r="J14" s="320" t="s">
        <v>285</v>
      </c>
      <c r="K14" s="320"/>
      <c r="L14" s="320" t="s">
        <v>286</v>
      </c>
      <c r="M14" s="320"/>
      <c r="N14" s="320" t="s">
        <v>287</v>
      </c>
      <c r="O14" s="320"/>
      <c r="P14" s="320" t="s">
        <v>13</v>
      </c>
      <c r="Q14" s="320"/>
      <c r="R14" s="326" t="s">
        <v>297</v>
      </c>
      <c r="S14" s="328"/>
      <c r="T14" s="326" t="s">
        <v>298</v>
      </c>
      <c r="U14" s="328"/>
      <c r="V14" s="326" t="s">
        <v>299</v>
      </c>
      <c r="W14" s="328"/>
      <c r="X14" s="326" t="s">
        <v>13</v>
      </c>
      <c r="Y14" s="328"/>
      <c r="Z14" s="326" t="s">
        <v>363</v>
      </c>
      <c r="AA14" s="328"/>
      <c r="AB14" s="326" t="s">
        <v>364</v>
      </c>
      <c r="AC14" s="328"/>
      <c r="AD14" s="326" t="s">
        <v>365</v>
      </c>
      <c r="AE14" s="328"/>
      <c r="AF14" s="326" t="s">
        <v>13</v>
      </c>
      <c r="AG14" s="328"/>
      <c r="AH14" s="326" t="s">
        <v>415</v>
      </c>
      <c r="AI14" s="328"/>
      <c r="AJ14" s="326" t="s">
        <v>416</v>
      </c>
      <c r="AK14" s="328"/>
      <c r="AL14" s="326" t="s">
        <v>417</v>
      </c>
      <c r="AM14" s="328"/>
      <c r="AN14" s="326" t="s">
        <v>13</v>
      </c>
      <c r="AO14" s="328"/>
      <c r="AP14" s="324"/>
    </row>
    <row r="15" spans="1:42" s="111" customFormat="1" ht="58.5" customHeight="1" x14ac:dyDescent="0.25">
      <c r="A15" s="336"/>
      <c r="B15" s="336"/>
      <c r="C15" s="320"/>
      <c r="D15" s="336"/>
      <c r="E15" s="336"/>
      <c r="F15" s="336"/>
      <c r="G15" s="336"/>
      <c r="H15" s="336"/>
      <c r="I15" s="320"/>
      <c r="J15" s="94" t="s">
        <v>7</v>
      </c>
      <c r="K15" s="94" t="s">
        <v>12</v>
      </c>
      <c r="L15" s="94" t="s">
        <v>7</v>
      </c>
      <c r="M15" s="94" t="s">
        <v>12</v>
      </c>
      <c r="N15" s="94" t="s">
        <v>7</v>
      </c>
      <c r="O15" s="94" t="s">
        <v>12</v>
      </c>
      <c r="P15" s="94" t="s">
        <v>7</v>
      </c>
      <c r="Q15" s="94" t="s">
        <v>12</v>
      </c>
      <c r="R15" s="94" t="s">
        <v>7</v>
      </c>
      <c r="S15" s="94" t="s">
        <v>12</v>
      </c>
      <c r="T15" s="94" t="s">
        <v>7</v>
      </c>
      <c r="U15" s="94" t="s">
        <v>12</v>
      </c>
      <c r="V15" s="94" t="s">
        <v>7</v>
      </c>
      <c r="W15" s="94" t="s">
        <v>12</v>
      </c>
      <c r="X15" s="94" t="s">
        <v>7</v>
      </c>
      <c r="Y15" s="94" t="s">
        <v>12</v>
      </c>
      <c r="Z15" s="94" t="s">
        <v>7</v>
      </c>
      <c r="AA15" s="94" t="s">
        <v>12</v>
      </c>
      <c r="AB15" s="94" t="s">
        <v>7</v>
      </c>
      <c r="AC15" s="94" t="s">
        <v>12</v>
      </c>
      <c r="AD15" s="94" t="s">
        <v>7</v>
      </c>
      <c r="AE15" s="94" t="s">
        <v>12</v>
      </c>
      <c r="AF15" s="94" t="s">
        <v>7</v>
      </c>
      <c r="AG15" s="94" t="s">
        <v>12</v>
      </c>
      <c r="AH15" s="94" t="s">
        <v>7</v>
      </c>
      <c r="AI15" s="94" t="s">
        <v>12</v>
      </c>
      <c r="AJ15" s="94" t="s">
        <v>7</v>
      </c>
      <c r="AK15" s="94" t="s">
        <v>12</v>
      </c>
      <c r="AL15" s="94" t="s">
        <v>7</v>
      </c>
      <c r="AM15" s="94" t="s">
        <v>12</v>
      </c>
      <c r="AN15" s="94" t="s">
        <v>7</v>
      </c>
      <c r="AO15" s="94" t="s">
        <v>12</v>
      </c>
      <c r="AP15" s="324"/>
    </row>
    <row r="16" spans="1:42" s="114" customFormat="1" ht="88.5" customHeight="1" x14ac:dyDescent="0.35">
      <c r="A16" s="125">
        <v>1</v>
      </c>
      <c r="B16" s="94" t="s">
        <v>22</v>
      </c>
      <c r="C16" s="126">
        <f>D16+E16+F16+G16</f>
        <v>310197</v>
      </c>
      <c r="D16" s="97">
        <f>282240+26957+1000</f>
        <v>310197</v>
      </c>
      <c r="E16" s="97"/>
      <c r="F16" s="97"/>
      <c r="G16" s="126"/>
      <c r="H16" s="94" t="s">
        <v>45</v>
      </c>
      <c r="I16" s="94" t="s">
        <v>46</v>
      </c>
      <c r="J16" s="83">
        <v>25180</v>
      </c>
      <c r="K16" s="112"/>
      <c r="L16" s="83">
        <v>25180</v>
      </c>
      <c r="M16" s="112"/>
      <c r="N16" s="83">
        <v>25180</v>
      </c>
      <c r="O16" s="112"/>
      <c r="P16" s="127">
        <f>J16+L16+N16</f>
        <v>75540</v>
      </c>
      <c r="Q16" s="127">
        <f>K16+M16+O16</f>
        <v>0</v>
      </c>
      <c r="R16" s="84">
        <v>25180</v>
      </c>
      <c r="S16" s="127"/>
      <c r="T16" s="84">
        <v>25180</v>
      </c>
      <c r="U16" s="127"/>
      <c r="V16" s="84">
        <v>25426.680000000022</v>
      </c>
      <c r="W16" s="127"/>
      <c r="X16" s="127">
        <f>R16+T16+V16</f>
        <v>75786.680000000022</v>
      </c>
      <c r="Y16" s="127">
        <f>S16+U16+W16</f>
        <v>0</v>
      </c>
      <c r="Z16" s="84">
        <v>24933.320000000007</v>
      </c>
      <c r="AA16" s="127"/>
      <c r="AB16" s="84">
        <v>22202.339999999997</v>
      </c>
      <c r="AC16" s="127"/>
      <c r="AD16" s="84">
        <v>22559.309999999998</v>
      </c>
      <c r="AE16" s="127"/>
      <c r="AF16" s="127">
        <f>Z16+AB16+AD16</f>
        <v>69694.97</v>
      </c>
      <c r="AG16" s="127">
        <f>AA16+AC16+AE16</f>
        <v>0</v>
      </c>
      <c r="AH16" s="85">
        <v>29491.820000000007</v>
      </c>
      <c r="AI16" s="127"/>
      <c r="AJ16" s="84">
        <v>29654.960000000021</v>
      </c>
      <c r="AK16" s="127"/>
      <c r="AL16" s="84">
        <v>29660</v>
      </c>
      <c r="AM16" s="127"/>
      <c r="AN16" s="127">
        <f>AH16+AJ16+AL16</f>
        <v>88806.780000000028</v>
      </c>
      <c r="AO16" s="127">
        <f>AI16+AK16+AM16</f>
        <v>0</v>
      </c>
      <c r="AP16" s="334" t="s">
        <v>289</v>
      </c>
    </row>
    <row r="17" spans="1:42" s="114" customFormat="1" ht="88.5" customHeight="1" x14ac:dyDescent="0.35">
      <c r="A17" s="125">
        <v>2</v>
      </c>
      <c r="B17" s="94" t="s">
        <v>23</v>
      </c>
      <c r="C17" s="126">
        <f t="shared" ref="C17:C23" si="0">D17+E17+F17+G17</f>
        <v>885740</v>
      </c>
      <c r="D17" s="128">
        <f>828600+70140-13000</f>
        <v>885740</v>
      </c>
      <c r="E17" s="128"/>
      <c r="F17" s="128"/>
      <c r="G17" s="126"/>
      <c r="H17" s="94" t="s">
        <v>45</v>
      </c>
      <c r="I17" s="94" t="s">
        <v>46</v>
      </c>
      <c r="J17" s="83">
        <v>61845</v>
      </c>
      <c r="K17" s="125"/>
      <c r="L17" s="83">
        <v>61845</v>
      </c>
      <c r="M17" s="112"/>
      <c r="N17" s="83">
        <v>63185</v>
      </c>
      <c r="O17" s="112"/>
      <c r="P17" s="127">
        <f t="shared" ref="P17:P24" si="1">J17+L17+N17</f>
        <v>186875</v>
      </c>
      <c r="Q17" s="127">
        <f t="shared" ref="Q17:Q24" si="2">K17+M17+O17</f>
        <v>0</v>
      </c>
      <c r="R17" s="84">
        <v>63855</v>
      </c>
      <c r="S17" s="127"/>
      <c r="T17" s="84">
        <v>63855</v>
      </c>
      <c r="U17" s="127"/>
      <c r="V17" s="84">
        <v>63855</v>
      </c>
      <c r="W17" s="127"/>
      <c r="X17" s="127">
        <f t="shared" ref="X17:X24" si="3">R17+T17+V17</f>
        <v>191565</v>
      </c>
      <c r="Y17" s="127">
        <f t="shared" ref="Y17:Y24" si="4">S17+U17+W17</f>
        <v>0</v>
      </c>
      <c r="Z17" s="84">
        <v>130750.71000000002</v>
      </c>
      <c r="AA17" s="127"/>
      <c r="AB17" s="84">
        <v>0</v>
      </c>
      <c r="AC17" s="127"/>
      <c r="AD17" s="84">
        <v>61519.049999999988</v>
      </c>
      <c r="AE17" s="127"/>
      <c r="AF17" s="127">
        <f t="shared" ref="AF17:AF24" si="5">Z17+AB17+AD17</f>
        <v>192269.76</v>
      </c>
      <c r="AG17" s="127">
        <f t="shared" ref="AG17:AG24" si="6">AA17+AC17+AE17</f>
        <v>0</v>
      </c>
      <c r="AH17" s="85">
        <v>65490</v>
      </c>
      <c r="AI17" s="127"/>
      <c r="AJ17" s="84">
        <v>65490</v>
      </c>
      <c r="AK17" s="127"/>
      <c r="AL17" s="84">
        <v>65490</v>
      </c>
      <c r="AM17" s="127"/>
      <c r="AN17" s="127">
        <f t="shared" ref="AN17:AN24" si="7">AH17+AJ17+AL17</f>
        <v>196470</v>
      </c>
      <c r="AO17" s="127">
        <f t="shared" ref="AO17:AO24" si="8">AI17+AK17+AM17</f>
        <v>0</v>
      </c>
      <c r="AP17" s="335"/>
    </row>
    <row r="18" spans="1:42" s="114" customFormat="1" ht="88.5" customHeight="1" x14ac:dyDescent="0.35">
      <c r="A18" s="125">
        <v>3</v>
      </c>
      <c r="B18" s="95" t="s">
        <v>68</v>
      </c>
      <c r="C18" s="126">
        <f t="shared" si="0"/>
        <v>15000</v>
      </c>
      <c r="D18" s="128">
        <v>15000</v>
      </c>
      <c r="E18" s="128"/>
      <c r="F18" s="128"/>
      <c r="G18" s="126"/>
      <c r="H18" s="94" t="s">
        <v>45</v>
      </c>
      <c r="I18" s="94" t="s">
        <v>46</v>
      </c>
      <c r="J18" s="112"/>
      <c r="K18" s="112"/>
      <c r="L18" s="83">
        <v>600</v>
      </c>
      <c r="M18" s="112"/>
      <c r="N18" s="83">
        <v>600</v>
      </c>
      <c r="O18" s="112"/>
      <c r="P18" s="127">
        <f t="shared" si="1"/>
        <v>1200</v>
      </c>
      <c r="Q18" s="127">
        <f t="shared" si="2"/>
        <v>0</v>
      </c>
      <c r="R18" s="84">
        <v>600</v>
      </c>
      <c r="S18" s="127"/>
      <c r="T18" s="84">
        <v>600</v>
      </c>
      <c r="U18" s="127"/>
      <c r="V18" s="84">
        <v>600</v>
      </c>
      <c r="W18" s="127"/>
      <c r="X18" s="127">
        <f t="shared" si="3"/>
        <v>1800</v>
      </c>
      <c r="Y18" s="127">
        <f t="shared" si="4"/>
        <v>0</v>
      </c>
      <c r="Z18" s="84">
        <v>600</v>
      </c>
      <c r="AA18" s="127"/>
      <c r="AB18" s="84">
        <v>210</v>
      </c>
      <c r="AC18" s="127"/>
      <c r="AD18" s="84">
        <v>600</v>
      </c>
      <c r="AE18" s="127"/>
      <c r="AF18" s="127">
        <f t="shared" si="5"/>
        <v>1410</v>
      </c>
      <c r="AG18" s="127">
        <f t="shared" si="6"/>
        <v>0</v>
      </c>
      <c r="AH18" s="85">
        <v>600</v>
      </c>
      <c r="AI18" s="127"/>
      <c r="AJ18" s="84">
        <v>600</v>
      </c>
      <c r="AK18" s="127"/>
      <c r="AL18" s="84">
        <v>600</v>
      </c>
      <c r="AM18" s="127"/>
      <c r="AN18" s="127">
        <f t="shared" si="7"/>
        <v>1800</v>
      </c>
      <c r="AO18" s="127">
        <f t="shared" si="8"/>
        <v>0</v>
      </c>
      <c r="AP18" s="335"/>
    </row>
    <row r="19" spans="1:42" s="114" customFormat="1" ht="88.5" customHeight="1" x14ac:dyDescent="0.35">
      <c r="A19" s="125">
        <v>4</v>
      </c>
      <c r="B19" s="95" t="s">
        <v>74</v>
      </c>
      <c r="C19" s="126">
        <f t="shared" si="0"/>
        <v>77000</v>
      </c>
      <c r="D19" s="128">
        <f>65000+12000</f>
        <v>77000</v>
      </c>
      <c r="E19" s="129"/>
      <c r="F19" s="129"/>
      <c r="G19" s="130"/>
      <c r="H19" s="94" t="s">
        <v>78</v>
      </c>
      <c r="I19" s="94" t="s">
        <v>46</v>
      </c>
      <c r="J19" s="112"/>
      <c r="K19" s="112"/>
      <c r="L19" s="112"/>
      <c r="M19" s="112"/>
      <c r="N19" s="112"/>
      <c r="O19" s="112"/>
      <c r="P19" s="127">
        <f t="shared" si="1"/>
        <v>0</v>
      </c>
      <c r="Q19" s="127">
        <f t="shared" si="2"/>
        <v>0</v>
      </c>
      <c r="R19" s="127"/>
      <c r="S19" s="127"/>
      <c r="T19" s="84">
        <v>6629</v>
      </c>
      <c r="U19" s="127"/>
      <c r="V19" s="84">
        <v>26942</v>
      </c>
      <c r="W19" s="127"/>
      <c r="X19" s="127">
        <f t="shared" si="3"/>
        <v>33571</v>
      </c>
      <c r="Y19" s="127">
        <f t="shared" si="4"/>
        <v>0</v>
      </c>
      <c r="Z19" s="84">
        <v>8820</v>
      </c>
      <c r="AA19" s="127"/>
      <c r="AB19" s="84">
        <v>0</v>
      </c>
      <c r="AC19" s="127"/>
      <c r="AD19" s="84">
        <v>0</v>
      </c>
      <c r="AE19" s="127"/>
      <c r="AF19" s="127">
        <f t="shared" si="5"/>
        <v>8820</v>
      </c>
      <c r="AG19" s="127">
        <f t="shared" si="6"/>
        <v>0</v>
      </c>
      <c r="AH19" s="85">
        <v>0</v>
      </c>
      <c r="AI19" s="127"/>
      <c r="AJ19" s="84">
        <v>0</v>
      </c>
      <c r="AK19" s="127"/>
      <c r="AL19" s="84">
        <v>14427</v>
      </c>
      <c r="AM19" s="127"/>
      <c r="AN19" s="127">
        <f t="shared" si="7"/>
        <v>14427</v>
      </c>
      <c r="AO19" s="127">
        <f t="shared" si="8"/>
        <v>0</v>
      </c>
      <c r="AP19" s="336"/>
    </row>
    <row r="20" spans="1:42" s="114" customFormat="1" ht="88.5" customHeight="1" x14ac:dyDescent="0.35">
      <c r="A20" s="125">
        <v>5</v>
      </c>
      <c r="B20" s="95" t="s">
        <v>14</v>
      </c>
      <c r="C20" s="126">
        <f t="shared" si="0"/>
        <v>10000</v>
      </c>
      <c r="D20" s="128">
        <v>10000</v>
      </c>
      <c r="E20" s="129"/>
      <c r="F20" s="129"/>
      <c r="G20" s="130"/>
      <c r="H20" s="94" t="s">
        <v>79</v>
      </c>
      <c r="I20" s="94" t="s">
        <v>46</v>
      </c>
      <c r="J20" s="112"/>
      <c r="K20" s="112"/>
      <c r="L20" s="112"/>
      <c r="M20" s="112"/>
      <c r="N20" s="112"/>
      <c r="O20" s="112"/>
      <c r="P20" s="127">
        <f t="shared" si="1"/>
        <v>0</v>
      </c>
      <c r="Q20" s="127">
        <f t="shared" si="2"/>
        <v>0</v>
      </c>
      <c r="R20" s="84">
        <v>10000</v>
      </c>
      <c r="S20" s="127"/>
      <c r="T20" s="127"/>
      <c r="U20" s="127"/>
      <c r="V20" s="127"/>
      <c r="W20" s="127"/>
      <c r="X20" s="127">
        <f t="shared" si="3"/>
        <v>10000</v>
      </c>
      <c r="Y20" s="127">
        <f t="shared" si="4"/>
        <v>0</v>
      </c>
      <c r="Z20" s="127"/>
      <c r="AA20" s="127"/>
      <c r="AB20" s="127"/>
      <c r="AC20" s="127"/>
      <c r="AD20" s="127"/>
      <c r="AE20" s="127"/>
      <c r="AF20" s="127">
        <f t="shared" si="5"/>
        <v>0</v>
      </c>
      <c r="AG20" s="127">
        <f t="shared" si="6"/>
        <v>0</v>
      </c>
      <c r="AH20" s="127"/>
      <c r="AI20" s="127"/>
      <c r="AJ20" s="127"/>
      <c r="AK20" s="127"/>
      <c r="AL20" s="127"/>
      <c r="AM20" s="127"/>
      <c r="AN20" s="127">
        <f t="shared" si="7"/>
        <v>0</v>
      </c>
      <c r="AO20" s="127">
        <f t="shared" si="8"/>
        <v>0</v>
      </c>
      <c r="AP20" s="94" t="s">
        <v>293</v>
      </c>
    </row>
    <row r="21" spans="1:42" s="114" customFormat="1" ht="185.25" customHeight="1" x14ac:dyDescent="0.35">
      <c r="A21" s="125">
        <v>6</v>
      </c>
      <c r="B21" s="94" t="s">
        <v>48</v>
      </c>
      <c r="C21" s="126">
        <f t="shared" si="0"/>
        <v>10000</v>
      </c>
      <c r="D21" s="128">
        <v>10000</v>
      </c>
      <c r="E21" s="129"/>
      <c r="F21" s="129"/>
      <c r="G21" s="130"/>
      <c r="H21" s="94" t="s">
        <v>47</v>
      </c>
      <c r="I21" s="94" t="s">
        <v>24</v>
      </c>
      <c r="J21" s="112"/>
      <c r="K21" s="112"/>
      <c r="L21" s="112"/>
      <c r="M21" s="112"/>
      <c r="N21" s="83">
        <f>1108.34</f>
        <v>1108.3399999999999</v>
      </c>
      <c r="O21" s="112"/>
      <c r="P21" s="127">
        <f t="shared" si="1"/>
        <v>1108.3399999999999</v>
      </c>
      <c r="Q21" s="127">
        <f t="shared" si="2"/>
        <v>0</v>
      </c>
      <c r="R21" s="84">
        <v>2756.8999999999996</v>
      </c>
      <c r="S21" s="127"/>
      <c r="T21" s="84"/>
      <c r="U21" s="127"/>
      <c r="V21" s="127"/>
      <c r="W21" s="127"/>
      <c r="X21" s="127">
        <f t="shared" si="3"/>
        <v>2756.8999999999996</v>
      </c>
      <c r="Y21" s="127">
        <f t="shared" si="4"/>
        <v>0</v>
      </c>
      <c r="Z21" s="127"/>
      <c r="AA21" s="127"/>
      <c r="AB21" s="127"/>
      <c r="AC21" s="127"/>
      <c r="AD21" s="127"/>
      <c r="AE21" s="127"/>
      <c r="AF21" s="127">
        <f t="shared" si="5"/>
        <v>0</v>
      </c>
      <c r="AG21" s="127">
        <f t="shared" si="6"/>
        <v>0</v>
      </c>
      <c r="AH21" s="127"/>
      <c r="AI21" s="127"/>
      <c r="AJ21" s="127"/>
      <c r="AK21" s="127"/>
      <c r="AL21" s="127"/>
      <c r="AM21" s="127"/>
      <c r="AN21" s="127">
        <f t="shared" si="7"/>
        <v>0</v>
      </c>
      <c r="AO21" s="127">
        <f t="shared" si="8"/>
        <v>0</v>
      </c>
      <c r="AP21" s="94" t="s">
        <v>292</v>
      </c>
    </row>
    <row r="22" spans="1:42" s="114" customFormat="1" ht="185.25" customHeight="1" x14ac:dyDescent="0.35">
      <c r="A22" s="125">
        <v>7</v>
      </c>
      <c r="B22" s="94" t="s">
        <v>454</v>
      </c>
      <c r="C22" s="126">
        <f t="shared" si="0"/>
        <v>50000</v>
      </c>
      <c r="D22" s="128">
        <f>20000+10000+30000-10000</f>
        <v>50000</v>
      </c>
      <c r="E22" s="129"/>
      <c r="F22" s="129"/>
      <c r="G22" s="130"/>
      <c r="H22" s="94" t="s">
        <v>69</v>
      </c>
      <c r="I22" s="94" t="s">
        <v>98</v>
      </c>
      <c r="J22" s="112"/>
      <c r="K22" s="112"/>
      <c r="L22" s="112"/>
      <c r="M22" s="112"/>
      <c r="N22" s="112"/>
      <c r="O22" s="112"/>
      <c r="P22" s="127">
        <f t="shared" si="1"/>
        <v>0</v>
      </c>
      <c r="Q22" s="127">
        <f t="shared" si="2"/>
        <v>0</v>
      </c>
      <c r="R22" s="127"/>
      <c r="S22" s="127"/>
      <c r="T22" s="84">
        <v>2025</v>
      </c>
      <c r="U22" s="127"/>
      <c r="V22" s="84">
        <v>2200</v>
      </c>
      <c r="W22" s="127"/>
      <c r="X22" s="127">
        <f t="shared" si="3"/>
        <v>4225</v>
      </c>
      <c r="Y22" s="127">
        <f t="shared" si="4"/>
        <v>0</v>
      </c>
      <c r="Z22" s="127">
        <v>1460</v>
      </c>
      <c r="AA22" s="127"/>
      <c r="AB22" s="127"/>
      <c r="AC22" s="127"/>
      <c r="AD22" s="127"/>
      <c r="AE22" s="127"/>
      <c r="AF22" s="127">
        <f t="shared" si="5"/>
        <v>1460</v>
      </c>
      <c r="AG22" s="127">
        <f t="shared" si="6"/>
        <v>0</v>
      </c>
      <c r="AH22" s="127"/>
      <c r="AI22" s="127"/>
      <c r="AJ22" s="127"/>
      <c r="AK22" s="127"/>
      <c r="AL22" s="127">
        <v>1617.1</v>
      </c>
      <c r="AM22" s="127"/>
      <c r="AN22" s="127">
        <f t="shared" si="7"/>
        <v>1617.1</v>
      </c>
      <c r="AO22" s="127">
        <f t="shared" si="8"/>
        <v>0</v>
      </c>
      <c r="AP22" s="94" t="s">
        <v>431</v>
      </c>
    </row>
    <row r="23" spans="1:42" s="114" customFormat="1" ht="185.25" customHeight="1" x14ac:dyDescent="0.35">
      <c r="A23" s="125">
        <v>8</v>
      </c>
      <c r="B23" s="94" t="s">
        <v>107</v>
      </c>
      <c r="C23" s="126">
        <f t="shared" si="0"/>
        <v>119600</v>
      </c>
      <c r="D23" s="128">
        <f>99600+20000</f>
        <v>119600</v>
      </c>
      <c r="E23" s="129"/>
      <c r="F23" s="129"/>
      <c r="G23" s="130"/>
      <c r="H23" s="94" t="s">
        <v>69</v>
      </c>
      <c r="I23" s="94" t="s">
        <v>49</v>
      </c>
      <c r="J23" s="112"/>
      <c r="K23" s="112"/>
      <c r="L23" s="112"/>
      <c r="M23" s="112"/>
      <c r="N23" s="112"/>
      <c r="O23" s="112"/>
      <c r="P23" s="127">
        <f t="shared" si="1"/>
        <v>0</v>
      </c>
      <c r="Q23" s="127">
        <f t="shared" si="2"/>
        <v>0</v>
      </c>
      <c r="R23" s="84"/>
      <c r="S23" s="127"/>
      <c r="T23" s="84">
        <v>21515</v>
      </c>
      <c r="U23" s="127"/>
      <c r="V23" s="84">
        <f>3150+860</f>
        <v>4010</v>
      </c>
      <c r="W23" s="127"/>
      <c r="X23" s="127">
        <f t="shared" si="3"/>
        <v>25525</v>
      </c>
      <c r="Y23" s="127">
        <f t="shared" si="4"/>
        <v>0</v>
      </c>
      <c r="Z23" s="127"/>
      <c r="AA23" s="127"/>
      <c r="AB23" s="127"/>
      <c r="AC23" s="127"/>
      <c r="AD23" s="84">
        <v>19258.599999999999</v>
      </c>
      <c r="AE23" s="127"/>
      <c r="AF23" s="127">
        <f t="shared" si="5"/>
        <v>19258.599999999999</v>
      </c>
      <c r="AG23" s="127">
        <f t="shared" si="6"/>
        <v>0</v>
      </c>
      <c r="AH23" s="127"/>
      <c r="AI23" s="127"/>
      <c r="AJ23" s="127"/>
      <c r="AK23" s="127"/>
      <c r="AL23" s="127">
        <v>40120</v>
      </c>
      <c r="AM23" s="127"/>
      <c r="AN23" s="127">
        <f t="shared" si="7"/>
        <v>40120</v>
      </c>
      <c r="AO23" s="127">
        <f t="shared" si="8"/>
        <v>0</v>
      </c>
      <c r="AP23" s="94" t="s">
        <v>432</v>
      </c>
    </row>
    <row r="24" spans="1:42" s="114" customFormat="1" ht="60" customHeight="1" x14ac:dyDescent="0.35">
      <c r="A24" s="125">
        <v>9</v>
      </c>
      <c r="B24" s="94" t="s">
        <v>84</v>
      </c>
      <c r="C24" s="126">
        <f t="shared" ref="C24" si="9">D24+E24+F24+G24</f>
        <v>20000</v>
      </c>
      <c r="D24" s="128">
        <v>0</v>
      </c>
      <c r="E24" s="129">
        <v>20000</v>
      </c>
      <c r="F24" s="129"/>
      <c r="G24" s="130"/>
      <c r="H24" s="94" t="s">
        <v>82</v>
      </c>
      <c r="I24" s="94" t="s">
        <v>83</v>
      </c>
      <c r="J24" s="112"/>
      <c r="K24" s="112"/>
      <c r="L24" s="112"/>
      <c r="M24" s="112"/>
      <c r="N24" s="112"/>
      <c r="O24" s="112"/>
      <c r="P24" s="127">
        <f t="shared" si="1"/>
        <v>0</v>
      </c>
      <c r="Q24" s="127">
        <f t="shared" si="2"/>
        <v>0</v>
      </c>
      <c r="R24" s="127"/>
      <c r="S24" s="127"/>
      <c r="T24" s="127"/>
      <c r="U24" s="127"/>
      <c r="V24" s="127"/>
      <c r="W24" s="127"/>
      <c r="X24" s="127">
        <f t="shared" si="3"/>
        <v>0</v>
      </c>
      <c r="Y24" s="127">
        <f t="shared" si="4"/>
        <v>0</v>
      </c>
      <c r="Z24" s="127"/>
      <c r="AA24" s="127"/>
      <c r="AB24" s="127"/>
      <c r="AC24" s="127"/>
      <c r="AD24" s="127"/>
      <c r="AE24" s="127"/>
      <c r="AF24" s="127">
        <f t="shared" si="5"/>
        <v>0</v>
      </c>
      <c r="AG24" s="127">
        <f t="shared" si="6"/>
        <v>0</v>
      </c>
      <c r="AH24" s="127"/>
      <c r="AI24" s="127"/>
      <c r="AJ24" s="127"/>
      <c r="AK24" s="127"/>
      <c r="AL24" s="127"/>
      <c r="AM24" s="127"/>
      <c r="AN24" s="127">
        <f t="shared" si="7"/>
        <v>0</v>
      </c>
      <c r="AO24" s="127">
        <f t="shared" si="8"/>
        <v>0</v>
      </c>
      <c r="AP24" s="112"/>
    </row>
    <row r="25" spans="1:42" s="119" customFormat="1" ht="21" customHeight="1" x14ac:dyDescent="0.35">
      <c r="A25" s="134"/>
      <c r="B25" s="134" t="s">
        <v>13</v>
      </c>
      <c r="C25" s="135">
        <f>D25+E25+F25+G25</f>
        <v>1497537</v>
      </c>
      <c r="D25" s="135">
        <f>SUM(D16:D24)</f>
        <v>1477537</v>
      </c>
      <c r="E25" s="135">
        <f>SUM(E16:E24)</f>
        <v>20000</v>
      </c>
      <c r="F25" s="135">
        <f>SUM(F16:F24)</f>
        <v>0</v>
      </c>
      <c r="G25" s="135">
        <f>SUM(G16:G24)</f>
        <v>0</v>
      </c>
      <c r="J25" s="117">
        <f>SUM(J16:J24)</f>
        <v>87025</v>
      </c>
      <c r="K25" s="117">
        <f t="shared" ref="K25:Q25" si="10">SUM(K16:K24)</f>
        <v>0</v>
      </c>
      <c r="L25" s="117">
        <f t="shared" si="10"/>
        <v>87625</v>
      </c>
      <c r="M25" s="117">
        <f t="shared" si="10"/>
        <v>0</v>
      </c>
      <c r="N25" s="117">
        <f t="shared" si="10"/>
        <v>90073.34</v>
      </c>
      <c r="O25" s="117">
        <f t="shared" si="10"/>
        <v>0</v>
      </c>
      <c r="P25" s="117">
        <f t="shared" si="10"/>
        <v>264723.34000000003</v>
      </c>
      <c r="Q25" s="117">
        <f t="shared" si="10"/>
        <v>0</v>
      </c>
      <c r="R25" s="117">
        <f>SUM(R16:R24)</f>
        <v>102391.9</v>
      </c>
      <c r="S25" s="117">
        <f t="shared" ref="S25:W25" si="11">SUM(S16:S24)</f>
        <v>0</v>
      </c>
      <c r="T25" s="117">
        <f t="shared" si="11"/>
        <v>119804</v>
      </c>
      <c r="U25" s="117">
        <f t="shared" si="11"/>
        <v>0</v>
      </c>
      <c r="V25" s="117">
        <f t="shared" si="11"/>
        <v>123033.68000000002</v>
      </c>
      <c r="W25" s="117">
        <f t="shared" si="11"/>
        <v>0</v>
      </c>
      <c r="X25" s="117">
        <f>SUM(X16:X24)</f>
        <v>345229.58000000007</v>
      </c>
      <c r="Y25" s="117">
        <f>SUM(Y16:Y24)</f>
        <v>0</v>
      </c>
      <c r="Z25" s="117">
        <f>SUM(Z16:Z24)</f>
        <v>166564.03000000003</v>
      </c>
      <c r="AA25" s="117">
        <f t="shared" ref="AA25:AG25" si="12">SUM(AA16:AA24)</f>
        <v>0</v>
      </c>
      <c r="AB25" s="117">
        <f t="shared" si="12"/>
        <v>22412.339999999997</v>
      </c>
      <c r="AC25" s="117">
        <f t="shared" si="12"/>
        <v>0</v>
      </c>
      <c r="AD25" s="117">
        <f t="shared" si="12"/>
        <v>103936.95999999999</v>
      </c>
      <c r="AE25" s="117">
        <f t="shared" si="12"/>
        <v>0</v>
      </c>
      <c r="AF25" s="117">
        <f t="shared" si="12"/>
        <v>292913.32999999996</v>
      </c>
      <c r="AG25" s="117">
        <f t="shared" si="12"/>
        <v>0</v>
      </c>
      <c r="AH25" s="117">
        <f>SUM(AH16:AH24)</f>
        <v>95581.82</v>
      </c>
      <c r="AI25" s="117">
        <f t="shared" ref="AI25:AO25" si="13">SUM(AI16:AI24)</f>
        <v>0</v>
      </c>
      <c r="AJ25" s="117">
        <f t="shared" si="13"/>
        <v>95744.960000000021</v>
      </c>
      <c r="AK25" s="117">
        <f t="shared" si="13"/>
        <v>0</v>
      </c>
      <c r="AL25" s="117">
        <f t="shared" si="13"/>
        <v>151914.1</v>
      </c>
      <c r="AM25" s="117">
        <f t="shared" si="13"/>
        <v>0</v>
      </c>
      <c r="AN25" s="117">
        <f t="shared" si="13"/>
        <v>343240.88</v>
      </c>
      <c r="AO25" s="117">
        <f t="shared" si="13"/>
        <v>0</v>
      </c>
    </row>
    <row r="26" spans="1:42" s="172" customFormat="1" ht="18" x14ac:dyDescent="0.35">
      <c r="A26" s="170"/>
      <c r="B26" s="171"/>
      <c r="D26" s="170"/>
      <c r="E26" s="170"/>
      <c r="F26" s="170"/>
      <c r="G26" s="173"/>
      <c r="P26" s="174"/>
      <c r="Q26" s="174"/>
      <c r="R26" s="174"/>
      <c r="S26" s="174"/>
      <c r="T26" s="174"/>
      <c r="U26" s="174"/>
      <c r="V26" s="174"/>
      <c r="W26" s="174"/>
      <c r="X26" s="174"/>
      <c r="Y26" s="174"/>
      <c r="Z26" s="174"/>
      <c r="AA26" s="174"/>
      <c r="AB26" s="174"/>
      <c r="AC26" s="174"/>
      <c r="AD26" s="174"/>
      <c r="AE26" s="174"/>
      <c r="AF26" s="174"/>
      <c r="AG26" s="174"/>
      <c r="AH26" s="134"/>
      <c r="AI26" s="134"/>
      <c r="AJ26" s="134"/>
      <c r="AK26" s="134"/>
      <c r="AL26" s="134"/>
      <c r="AM26" s="134"/>
      <c r="AN26" s="134"/>
      <c r="AO26" s="134"/>
    </row>
  </sheetData>
  <mergeCells count="41">
    <mergeCell ref="AH13:AO13"/>
    <mergeCell ref="AH14:AI14"/>
    <mergeCell ref="AJ14:AK14"/>
    <mergeCell ref="AL14:AM14"/>
    <mergeCell ref="AN14:AO14"/>
    <mergeCell ref="AP16:AP19"/>
    <mergeCell ref="J13:Q13"/>
    <mergeCell ref="AP13:AP15"/>
    <mergeCell ref="J14:K14"/>
    <mergeCell ref="L14:M14"/>
    <mergeCell ref="N14:O14"/>
    <mergeCell ref="P14:Q14"/>
    <mergeCell ref="R13:Y13"/>
    <mergeCell ref="R14:S14"/>
    <mergeCell ref="T14:U14"/>
    <mergeCell ref="V14:W14"/>
    <mergeCell ref="X14:Y14"/>
    <mergeCell ref="Z13:AG13"/>
    <mergeCell ref="Z14:AA14"/>
    <mergeCell ref="AF14:AG14"/>
    <mergeCell ref="AD14:AE14"/>
    <mergeCell ref="A10:I10"/>
    <mergeCell ref="A1:I1"/>
    <mergeCell ref="B2:I2"/>
    <mergeCell ref="B3:I3"/>
    <mergeCell ref="B5:I5"/>
    <mergeCell ref="A6:I6"/>
    <mergeCell ref="A9:H9"/>
    <mergeCell ref="A7:G7"/>
    <mergeCell ref="B8:G8"/>
    <mergeCell ref="AB14:AC14"/>
    <mergeCell ref="I13:I15"/>
    <mergeCell ref="A13:A15"/>
    <mergeCell ref="C13:C15"/>
    <mergeCell ref="D13:G13"/>
    <mergeCell ref="B13:B15"/>
    <mergeCell ref="H13:H15"/>
    <mergeCell ref="D14:D15"/>
    <mergeCell ref="E14:E15"/>
    <mergeCell ref="F14:F15"/>
    <mergeCell ref="G14:G15"/>
  </mergeCells>
  <pageMargins left="0.31496062992125984" right="0.31496062992125984" top="0.74803149606299213" bottom="0.15748031496062992" header="0.31496062992125984" footer="0.31496062992125984"/>
  <pageSetup scale="65" orientation="landscape" r:id="rId1"/>
  <rowBreaks count="1" manualBreakCount="1">
    <brk id="9" max="8"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AP23"/>
  <sheetViews>
    <sheetView topLeftCell="A9" zoomScale="70" zoomScaleNormal="70" workbookViewId="0">
      <selection activeCell="AP21" sqref="AP21"/>
    </sheetView>
  </sheetViews>
  <sheetFormatPr defaultColWidth="8.875" defaultRowHeight="15.75" x14ac:dyDescent="0.3"/>
  <cols>
    <col min="1" max="1" width="4.875" style="14" customWidth="1"/>
    <col min="2" max="2" width="66" style="19" customWidth="1"/>
    <col min="3" max="3" width="13.375" style="13" customWidth="1"/>
    <col min="4" max="4" width="14.5" style="14" customWidth="1"/>
    <col min="5" max="5" width="16.875" style="14" customWidth="1"/>
    <col min="6" max="6" width="14.875" style="14" customWidth="1"/>
    <col min="7" max="7" width="14" style="14" customWidth="1"/>
    <col min="8" max="8" width="46.875" style="13" customWidth="1"/>
    <col min="9" max="9" width="25.75" style="13" customWidth="1"/>
    <col min="10" max="10" width="17.375" style="31" customWidth="1"/>
    <col min="11" max="11" width="12" style="32" customWidth="1"/>
    <col min="12" max="12" width="15.5" style="31" customWidth="1"/>
    <col min="13" max="13" width="12" style="31" customWidth="1"/>
    <col min="14" max="14" width="16.125" style="31" customWidth="1"/>
    <col min="15" max="15" width="11.625" style="31" customWidth="1"/>
    <col min="16" max="41" width="15.125" style="35" customWidth="1"/>
    <col min="42" max="42" width="48.125" style="31" customWidth="1"/>
    <col min="43" max="16384" width="8.875" style="13"/>
  </cols>
  <sheetData>
    <row r="1" spans="1:42" ht="36" customHeight="1" x14ac:dyDescent="0.3">
      <c r="A1" s="340" t="s">
        <v>61</v>
      </c>
      <c r="B1" s="340"/>
      <c r="C1" s="340"/>
      <c r="D1" s="340"/>
      <c r="E1" s="340"/>
      <c r="F1" s="340"/>
      <c r="G1" s="340"/>
      <c r="H1" s="340"/>
      <c r="I1" s="340"/>
    </row>
    <row r="2" spans="1:42" ht="51.75" customHeight="1" x14ac:dyDescent="0.3">
      <c r="A2" s="20"/>
      <c r="B2" s="341" t="s">
        <v>0</v>
      </c>
      <c r="C2" s="341"/>
      <c r="D2" s="341"/>
      <c r="E2" s="341"/>
      <c r="F2" s="341"/>
      <c r="G2" s="341"/>
      <c r="H2" s="341"/>
      <c r="I2" s="341"/>
    </row>
    <row r="3" spans="1:42" ht="44.25" customHeight="1" x14ac:dyDescent="0.3">
      <c r="A3" s="20"/>
      <c r="B3" s="342" t="s">
        <v>39</v>
      </c>
      <c r="C3" s="342"/>
      <c r="D3" s="342"/>
      <c r="E3" s="342"/>
      <c r="F3" s="342"/>
      <c r="G3" s="342"/>
      <c r="H3" s="342"/>
      <c r="I3" s="342"/>
    </row>
    <row r="4" spans="1:42" ht="9" customHeight="1" x14ac:dyDescent="0.3">
      <c r="A4" s="20"/>
      <c r="B4" s="136"/>
      <c r="C4" s="21"/>
      <c r="D4" s="20"/>
      <c r="E4" s="20"/>
      <c r="F4" s="20"/>
      <c r="G4" s="20"/>
      <c r="H4" s="21"/>
      <c r="I4" s="21"/>
    </row>
    <row r="5" spans="1:42" ht="106.5" customHeight="1" x14ac:dyDescent="0.3">
      <c r="A5" s="27"/>
      <c r="B5" s="341" t="s">
        <v>119</v>
      </c>
      <c r="C5" s="341"/>
      <c r="D5" s="341"/>
      <c r="E5" s="341"/>
      <c r="F5" s="341"/>
      <c r="G5" s="341"/>
      <c r="H5" s="341"/>
      <c r="I5" s="341"/>
    </row>
    <row r="6" spans="1:42" ht="51" customHeight="1" x14ac:dyDescent="0.3">
      <c r="A6" s="341" t="s">
        <v>120</v>
      </c>
      <c r="B6" s="341"/>
      <c r="C6" s="341"/>
      <c r="D6" s="341"/>
      <c r="E6" s="341"/>
      <c r="F6" s="341"/>
      <c r="G6" s="341"/>
      <c r="H6" s="341"/>
      <c r="I6" s="341"/>
    </row>
    <row r="7" spans="1:42" ht="16.5" customHeight="1" x14ac:dyDescent="0.3">
      <c r="A7" s="350"/>
      <c r="B7" s="350"/>
      <c r="C7" s="350"/>
      <c r="D7" s="350"/>
      <c r="E7" s="350"/>
      <c r="F7" s="350"/>
      <c r="G7" s="350"/>
      <c r="H7" s="350"/>
      <c r="I7" s="21"/>
    </row>
    <row r="8" spans="1:42" ht="42" customHeight="1" x14ac:dyDescent="0.3">
      <c r="A8" s="339" t="s">
        <v>35</v>
      </c>
      <c r="B8" s="339"/>
      <c r="C8" s="339"/>
      <c r="D8" s="339"/>
      <c r="E8" s="339"/>
      <c r="F8" s="339"/>
      <c r="G8" s="339"/>
      <c r="H8" s="15" t="s">
        <v>33</v>
      </c>
      <c r="I8" s="21"/>
    </row>
    <row r="9" spans="1:42" ht="36" customHeight="1" x14ac:dyDescent="0.3">
      <c r="A9" s="24"/>
      <c r="B9" s="339" t="s">
        <v>36</v>
      </c>
      <c r="C9" s="339"/>
      <c r="D9" s="339"/>
      <c r="E9" s="339"/>
      <c r="F9" s="339"/>
      <c r="G9" s="339"/>
      <c r="H9" s="24" t="s">
        <v>67</v>
      </c>
      <c r="I9" s="21"/>
    </row>
    <row r="10" spans="1:42" ht="15" customHeight="1" x14ac:dyDescent="0.3">
      <c r="A10" s="24"/>
      <c r="B10" s="29"/>
      <c r="C10" s="24"/>
      <c r="D10" s="24"/>
      <c r="E10" s="24"/>
      <c r="F10" s="24"/>
      <c r="G10" s="24"/>
      <c r="H10" s="24"/>
      <c r="I10" s="21"/>
    </row>
    <row r="11" spans="1:42" ht="28.5" customHeight="1" x14ac:dyDescent="0.3">
      <c r="A11" s="339" t="s">
        <v>6</v>
      </c>
      <c r="B11" s="339"/>
      <c r="C11" s="339"/>
      <c r="D11" s="339"/>
      <c r="E11" s="339"/>
      <c r="F11" s="339"/>
      <c r="G11" s="339"/>
      <c r="H11" s="339"/>
      <c r="I11" s="339"/>
    </row>
    <row r="12" spans="1:42" ht="6" customHeight="1" x14ac:dyDescent="0.3">
      <c r="A12" s="16"/>
      <c r="B12" s="30"/>
      <c r="C12" s="16"/>
      <c r="D12" s="16"/>
      <c r="E12" s="16"/>
      <c r="F12" s="16"/>
      <c r="G12" s="16"/>
      <c r="H12" s="16"/>
      <c r="I12" s="5"/>
    </row>
    <row r="13" spans="1:42" x14ac:dyDescent="0.3">
      <c r="I13" s="22"/>
    </row>
    <row r="14" spans="1:42" s="82" customFormat="1" ht="40.5" customHeight="1" x14ac:dyDescent="0.25">
      <c r="A14" s="354" t="s">
        <v>1</v>
      </c>
      <c r="B14" s="357" t="s">
        <v>42</v>
      </c>
      <c r="C14" s="353" t="s">
        <v>2</v>
      </c>
      <c r="D14" s="353" t="s">
        <v>43</v>
      </c>
      <c r="E14" s="353"/>
      <c r="F14" s="353"/>
      <c r="G14" s="353"/>
      <c r="H14" s="353" t="s">
        <v>16</v>
      </c>
      <c r="I14" s="353" t="s">
        <v>3</v>
      </c>
      <c r="J14" s="360" t="s">
        <v>301</v>
      </c>
      <c r="K14" s="360"/>
      <c r="L14" s="360"/>
      <c r="M14" s="360"/>
      <c r="N14" s="360"/>
      <c r="O14" s="360"/>
      <c r="P14" s="360"/>
      <c r="Q14" s="360"/>
      <c r="R14" s="361" t="s">
        <v>300</v>
      </c>
      <c r="S14" s="362"/>
      <c r="T14" s="362"/>
      <c r="U14" s="362"/>
      <c r="V14" s="362"/>
      <c r="W14" s="362"/>
      <c r="X14" s="362"/>
      <c r="Y14" s="363"/>
      <c r="Z14" s="361" t="s">
        <v>366</v>
      </c>
      <c r="AA14" s="362"/>
      <c r="AB14" s="362"/>
      <c r="AC14" s="362"/>
      <c r="AD14" s="362"/>
      <c r="AE14" s="362"/>
      <c r="AF14" s="362"/>
      <c r="AG14" s="363"/>
      <c r="AH14" s="361" t="s">
        <v>414</v>
      </c>
      <c r="AI14" s="362"/>
      <c r="AJ14" s="362"/>
      <c r="AK14" s="362"/>
      <c r="AL14" s="362"/>
      <c r="AM14" s="362"/>
      <c r="AN14" s="362"/>
      <c r="AO14" s="363"/>
      <c r="AP14" s="360" t="s">
        <v>288</v>
      </c>
    </row>
    <row r="15" spans="1:42" s="88" customFormat="1" ht="40.5" customHeight="1" x14ac:dyDescent="0.25">
      <c r="A15" s="355"/>
      <c r="B15" s="358"/>
      <c r="C15" s="353"/>
      <c r="D15" s="321" t="s">
        <v>7</v>
      </c>
      <c r="E15" s="321" t="s">
        <v>12</v>
      </c>
      <c r="F15" s="321" t="s">
        <v>40</v>
      </c>
      <c r="G15" s="321" t="s">
        <v>41</v>
      </c>
      <c r="H15" s="353"/>
      <c r="I15" s="353"/>
      <c r="J15" s="320" t="s">
        <v>285</v>
      </c>
      <c r="K15" s="320"/>
      <c r="L15" s="320" t="s">
        <v>286</v>
      </c>
      <c r="M15" s="320"/>
      <c r="N15" s="320" t="s">
        <v>287</v>
      </c>
      <c r="O15" s="320"/>
      <c r="P15" s="320" t="s">
        <v>13</v>
      </c>
      <c r="Q15" s="320"/>
      <c r="R15" s="326" t="s">
        <v>297</v>
      </c>
      <c r="S15" s="328"/>
      <c r="T15" s="326" t="s">
        <v>298</v>
      </c>
      <c r="U15" s="328"/>
      <c r="V15" s="326" t="s">
        <v>299</v>
      </c>
      <c r="W15" s="328"/>
      <c r="X15" s="326" t="s">
        <v>13</v>
      </c>
      <c r="Y15" s="328"/>
      <c r="Z15" s="326" t="s">
        <v>363</v>
      </c>
      <c r="AA15" s="328"/>
      <c r="AB15" s="326" t="s">
        <v>364</v>
      </c>
      <c r="AC15" s="328"/>
      <c r="AD15" s="326" t="s">
        <v>365</v>
      </c>
      <c r="AE15" s="328"/>
      <c r="AF15" s="326" t="s">
        <v>13</v>
      </c>
      <c r="AG15" s="328"/>
      <c r="AH15" s="320" t="s">
        <v>415</v>
      </c>
      <c r="AI15" s="320"/>
      <c r="AJ15" s="320" t="s">
        <v>416</v>
      </c>
      <c r="AK15" s="320"/>
      <c r="AL15" s="320" t="s">
        <v>417</v>
      </c>
      <c r="AM15" s="320"/>
      <c r="AN15" s="320" t="s">
        <v>13</v>
      </c>
      <c r="AO15" s="320"/>
      <c r="AP15" s="360"/>
    </row>
    <row r="16" spans="1:42" s="88" customFormat="1" ht="68.25" customHeight="1" x14ac:dyDescent="0.25">
      <c r="A16" s="356"/>
      <c r="B16" s="359"/>
      <c r="C16" s="353"/>
      <c r="D16" s="323"/>
      <c r="E16" s="323"/>
      <c r="F16" s="323"/>
      <c r="G16" s="323"/>
      <c r="H16" s="353"/>
      <c r="I16" s="353"/>
      <c r="J16" s="94" t="s">
        <v>7</v>
      </c>
      <c r="K16" s="94" t="s">
        <v>40</v>
      </c>
      <c r="L16" s="94" t="s">
        <v>7</v>
      </c>
      <c r="M16" s="94" t="s">
        <v>40</v>
      </c>
      <c r="N16" s="94" t="s">
        <v>7</v>
      </c>
      <c r="O16" s="94" t="s">
        <v>40</v>
      </c>
      <c r="P16" s="94" t="s">
        <v>7</v>
      </c>
      <c r="Q16" s="94" t="s">
        <v>40</v>
      </c>
      <c r="R16" s="94" t="s">
        <v>7</v>
      </c>
      <c r="S16" s="94" t="s">
        <v>40</v>
      </c>
      <c r="T16" s="94" t="s">
        <v>7</v>
      </c>
      <c r="U16" s="94" t="s">
        <v>40</v>
      </c>
      <c r="V16" s="94" t="s">
        <v>7</v>
      </c>
      <c r="W16" s="94" t="s">
        <v>40</v>
      </c>
      <c r="X16" s="94" t="s">
        <v>7</v>
      </c>
      <c r="Y16" s="94" t="s">
        <v>40</v>
      </c>
      <c r="Z16" s="94" t="s">
        <v>7</v>
      </c>
      <c r="AA16" s="94" t="s">
        <v>40</v>
      </c>
      <c r="AB16" s="94" t="s">
        <v>7</v>
      </c>
      <c r="AC16" s="94" t="s">
        <v>40</v>
      </c>
      <c r="AD16" s="94" t="s">
        <v>7</v>
      </c>
      <c r="AE16" s="94" t="s">
        <v>40</v>
      </c>
      <c r="AF16" s="94" t="s">
        <v>7</v>
      </c>
      <c r="AG16" s="94" t="s">
        <v>40</v>
      </c>
      <c r="AH16" s="94" t="s">
        <v>7</v>
      </c>
      <c r="AI16" s="94" t="s">
        <v>40</v>
      </c>
      <c r="AJ16" s="94" t="s">
        <v>7</v>
      </c>
      <c r="AK16" s="94" t="s">
        <v>40</v>
      </c>
      <c r="AL16" s="94" t="s">
        <v>7</v>
      </c>
      <c r="AM16" s="94" t="s">
        <v>40</v>
      </c>
      <c r="AN16" s="94" t="s">
        <v>7</v>
      </c>
      <c r="AO16" s="94" t="s">
        <v>40</v>
      </c>
      <c r="AP16" s="360"/>
    </row>
    <row r="17" spans="1:42" s="100" customFormat="1" ht="75" customHeight="1" x14ac:dyDescent="0.35">
      <c r="A17" s="96">
        <v>1</v>
      </c>
      <c r="B17" s="86" t="s">
        <v>22</v>
      </c>
      <c r="C17" s="97">
        <f>D17+E17+F17+G17</f>
        <v>204910</v>
      </c>
      <c r="D17" s="97">
        <f>189900+15010</f>
        <v>204910</v>
      </c>
      <c r="E17" s="97"/>
      <c r="F17" s="97"/>
      <c r="G17" s="97"/>
      <c r="H17" s="86" t="s">
        <v>45</v>
      </c>
      <c r="I17" s="86" t="s">
        <v>46</v>
      </c>
      <c r="J17" s="83">
        <v>13910</v>
      </c>
      <c r="K17" s="96"/>
      <c r="L17" s="83">
        <v>13910</v>
      </c>
      <c r="M17" s="98"/>
      <c r="N17" s="83">
        <v>13910</v>
      </c>
      <c r="O17" s="98"/>
      <c r="P17" s="121">
        <f>J17+L17+N17</f>
        <v>41730</v>
      </c>
      <c r="Q17" s="121">
        <f>K17+M17+O17</f>
        <v>0</v>
      </c>
      <c r="R17" s="84">
        <v>13910</v>
      </c>
      <c r="S17" s="121"/>
      <c r="T17" s="84">
        <v>14916.5</v>
      </c>
      <c r="U17" s="121"/>
      <c r="V17" s="84">
        <v>15740</v>
      </c>
      <c r="W17" s="121"/>
      <c r="X17" s="121">
        <f>R17+T17+V17</f>
        <v>44566.5</v>
      </c>
      <c r="Y17" s="121">
        <f>S17+U17+W17</f>
        <v>0</v>
      </c>
      <c r="Z17" s="84">
        <v>23435.51999999999</v>
      </c>
      <c r="AA17" s="121"/>
      <c r="AB17" s="84">
        <v>6693.0500000000029</v>
      </c>
      <c r="AC17" s="121"/>
      <c r="AD17" s="84">
        <v>15098.099999999991</v>
      </c>
      <c r="AE17" s="121"/>
      <c r="AF17" s="121">
        <f>Z17+AB17+AD17</f>
        <v>45226.669999999984</v>
      </c>
      <c r="AG17" s="121">
        <f>AA17+AC17+AE17</f>
        <v>0</v>
      </c>
      <c r="AH17" s="85">
        <v>15339.100000000006</v>
      </c>
      <c r="AI17" s="121"/>
      <c r="AJ17" s="84">
        <v>15740</v>
      </c>
      <c r="AK17" s="121"/>
      <c r="AL17" s="84">
        <v>15740</v>
      </c>
      <c r="AM17" s="121"/>
      <c r="AN17" s="121">
        <f>AH17+AJ17+AL17</f>
        <v>46819.100000000006</v>
      </c>
      <c r="AO17" s="121">
        <f>AI17+AK17+AM17</f>
        <v>0</v>
      </c>
      <c r="AP17" s="321" t="s">
        <v>434</v>
      </c>
    </row>
    <row r="18" spans="1:42" s="100" customFormat="1" ht="75" customHeight="1" x14ac:dyDescent="0.35">
      <c r="A18" s="96">
        <v>2</v>
      </c>
      <c r="B18" s="86" t="s">
        <v>80</v>
      </c>
      <c r="C18" s="97">
        <f t="shared" ref="C18:C21" si="0">D18+E18+F18+G18</f>
        <v>199470</v>
      </c>
      <c r="D18" s="97">
        <f>184155+2965</f>
        <v>187120</v>
      </c>
      <c r="E18" s="97"/>
      <c r="F18" s="97">
        <f>2250+3000+7100</f>
        <v>12350</v>
      </c>
      <c r="G18" s="97"/>
      <c r="H18" s="86" t="s">
        <v>45</v>
      </c>
      <c r="I18" s="86" t="s">
        <v>46</v>
      </c>
      <c r="J18" s="86"/>
      <c r="K18" s="96"/>
      <c r="L18" s="83">
        <v>25435</v>
      </c>
      <c r="M18" s="98"/>
      <c r="N18" s="83">
        <v>9669</v>
      </c>
      <c r="O18" s="98"/>
      <c r="P18" s="121">
        <f t="shared" ref="P18:P21" si="1">J18+L18+N18</f>
        <v>35104</v>
      </c>
      <c r="Q18" s="121">
        <f t="shared" ref="Q18:Q21" si="2">K18+M18+O18</f>
        <v>0</v>
      </c>
      <c r="R18" s="84">
        <v>21279</v>
      </c>
      <c r="S18" s="121"/>
      <c r="T18" s="84">
        <v>15545</v>
      </c>
      <c r="U18" s="121"/>
      <c r="V18" s="84">
        <v>6946</v>
      </c>
      <c r="W18" s="121"/>
      <c r="X18" s="121">
        <f t="shared" ref="X18:X21" si="3">R18+T18+V18</f>
        <v>43770</v>
      </c>
      <c r="Y18" s="121">
        <f t="shared" ref="Y18:Y21" si="4">S18+U18+W18</f>
        <v>0</v>
      </c>
      <c r="Z18" s="84">
        <v>27647</v>
      </c>
      <c r="AA18" s="121"/>
      <c r="AB18" s="84">
        <v>3993</v>
      </c>
      <c r="AC18" s="121"/>
      <c r="AD18" s="84">
        <v>0</v>
      </c>
      <c r="AE18" s="121"/>
      <c r="AF18" s="121">
        <f t="shared" ref="AF18:AF21" si="5">Z18+AB18+AD18</f>
        <v>31640</v>
      </c>
      <c r="AG18" s="121">
        <f t="shared" ref="AG18:AG21" si="6">AA18+AC18+AE18</f>
        <v>0</v>
      </c>
      <c r="AH18" s="85">
        <v>28035</v>
      </c>
      <c r="AI18" s="121"/>
      <c r="AJ18" s="84">
        <v>7852</v>
      </c>
      <c r="AK18" s="121">
        <v>12350</v>
      </c>
      <c r="AL18" s="84">
        <v>40719</v>
      </c>
      <c r="AM18" s="121"/>
      <c r="AN18" s="121">
        <f t="shared" ref="AN18:AN21" si="7">AH18+AJ18+AL18</f>
        <v>76606</v>
      </c>
      <c r="AO18" s="121">
        <f t="shared" ref="AO18:AO21" si="8">AI18+AK18+AM18</f>
        <v>12350</v>
      </c>
      <c r="AP18" s="322"/>
    </row>
    <row r="19" spans="1:42" s="100" customFormat="1" ht="69.75" customHeight="1" x14ac:dyDescent="0.35">
      <c r="A19" s="96">
        <v>3</v>
      </c>
      <c r="B19" s="86" t="s">
        <v>68</v>
      </c>
      <c r="C19" s="97">
        <f t="shared" si="0"/>
        <v>35115</v>
      </c>
      <c r="D19" s="101">
        <f>21300+10000+2130-2965</f>
        <v>30465</v>
      </c>
      <c r="E19" s="101"/>
      <c r="F19" s="101">
        <f>2400+750+1500</f>
        <v>4650</v>
      </c>
      <c r="G19" s="97"/>
      <c r="H19" s="86" t="s">
        <v>45</v>
      </c>
      <c r="I19" s="86" t="s">
        <v>46</v>
      </c>
      <c r="J19" s="86"/>
      <c r="K19" s="96"/>
      <c r="L19" s="83">
        <v>1000</v>
      </c>
      <c r="M19" s="98"/>
      <c r="N19" s="83">
        <v>1000</v>
      </c>
      <c r="O19" s="98"/>
      <c r="P19" s="121">
        <f t="shared" si="1"/>
        <v>2000</v>
      </c>
      <c r="Q19" s="121">
        <f t="shared" si="2"/>
        <v>0</v>
      </c>
      <c r="R19" s="84">
        <v>1000</v>
      </c>
      <c r="S19" s="86">
        <v>4650</v>
      </c>
      <c r="T19" s="84">
        <v>2000</v>
      </c>
      <c r="U19" s="121"/>
      <c r="V19" s="84">
        <v>1775</v>
      </c>
      <c r="W19" s="121"/>
      <c r="X19" s="121">
        <f t="shared" si="3"/>
        <v>4775</v>
      </c>
      <c r="Y19" s="121">
        <f t="shared" si="4"/>
        <v>4650</v>
      </c>
      <c r="Z19" s="84">
        <v>2775</v>
      </c>
      <c r="AA19" s="121"/>
      <c r="AB19" s="84">
        <v>4788.2000000000007</v>
      </c>
      <c r="AC19" s="121"/>
      <c r="AD19" s="84">
        <v>84.520000000000437</v>
      </c>
      <c r="AE19" s="121"/>
      <c r="AF19" s="121">
        <f t="shared" si="5"/>
        <v>7647.7200000000012</v>
      </c>
      <c r="AG19" s="121">
        <f t="shared" si="6"/>
        <v>0</v>
      </c>
      <c r="AH19" s="85">
        <v>0</v>
      </c>
      <c r="AI19" s="121"/>
      <c r="AJ19" s="84">
        <v>2327.3799999999974</v>
      </c>
      <c r="AK19" s="121"/>
      <c r="AL19" s="84">
        <v>2575</v>
      </c>
      <c r="AM19" s="121"/>
      <c r="AN19" s="121">
        <f t="shared" si="7"/>
        <v>4902.3799999999974</v>
      </c>
      <c r="AO19" s="121">
        <f t="shared" si="8"/>
        <v>0</v>
      </c>
      <c r="AP19" s="323"/>
    </row>
    <row r="20" spans="1:42" s="100" customFormat="1" ht="69.75" customHeight="1" x14ac:dyDescent="0.35">
      <c r="A20" s="96">
        <v>4</v>
      </c>
      <c r="B20" s="86" t="s">
        <v>14</v>
      </c>
      <c r="C20" s="97">
        <f t="shared" si="0"/>
        <v>10000</v>
      </c>
      <c r="D20" s="101">
        <v>10000</v>
      </c>
      <c r="E20" s="101"/>
      <c r="F20" s="101"/>
      <c r="G20" s="97"/>
      <c r="H20" s="86" t="s">
        <v>79</v>
      </c>
      <c r="I20" s="86" t="s">
        <v>46</v>
      </c>
      <c r="J20" s="98"/>
      <c r="K20" s="96"/>
      <c r="L20" s="98"/>
      <c r="M20" s="98"/>
      <c r="N20" s="98"/>
      <c r="O20" s="98"/>
      <c r="P20" s="121">
        <f t="shared" si="1"/>
        <v>0</v>
      </c>
      <c r="Q20" s="121">
        <f t="shared" si="2"/>
        <v>0</v>
      </c>
      <c r="R20" s="121"/>
      <c r="S20" s="121"/>
      <c r="T20" s="121"/>
      <c r="U20" s="121"/>
      <c r="V20" s="121"/>
      <c r="W20" s="121"/>
      <c r="X20" s="121">
        <f t="shared" si="3"/>
        <v>0</v>
      </c>
      <c r="Y20" s="121">
        <f t="shared" si="4"/>
        <v>0</v>
      </c>
      <c r="Z20" s="121"/>
      <c r="AA20" s="121"/>
      <c r="AB20" s="121"/>
      <c r="AC20" s="121"/>
      <c r="AD20" s="121"/>
      <c r="AE20" s="121"/>
      <c r="AF20" s="121">
        <f t="shared" si="5"/>
        <v>0</v>
      </c>
      <c r="AG20" s="121">
        <f t="shared" si="6"/>
        <v>0</v>
      </c>
      <c r="AH20" s="85">
        <v>0</v>
      </c>
      <c r="AI20" s="121"/>
      <c r="AJ20" s="84">
        <v>0</v>
      </c>
      <c r="AK20" s="121"/>
      <c r="AL20" s="84">
        <v>203</v>
      </c>
      <c r="AM20" s="121"/>
      <c r="AN20" s="121">
        <f t="shared" si="7"/>
        <v>203</v>
      </c>
      <c r="AO20" s="121">
        <f t="shared" si="8"/>
        <v>0</v>
      </c>
      <c r="AP20" s="96" t="s">
        <v>293</v>
      </c>
    </row>
    <row r="21" spans="1:42" s="100" customFormat="1" ht="166.5" customHeight="1" x14ac:dyDescent="0.35">
      <c r="A21" s="96">
        <v>5</v>
      </c>
      <c r="B21" s="86" t="s">
        <v>457</v>
      </c>
      <c r="C21" s="97">
        <f t="shared" si="0"/>
        <v>170935</v>
      </c>
      <c r="D21" s="101">
        <f>85000-20000+10000-30000+20000+80000-10000</f>
        <v>135000</v>
      </c>
      <c r="E21" s="101"/>
      <c r="F21" s="101">
        <f>140210-105195+420+500</f>
        <v>35935</v>
      </c>
      <c r="G21" s="101"/>
      <c r="H21" s="86" t="s">
        <v>70</v>
      </c>
      <c r="I21" s="86" t="s">
        <v>98</v>
      </c>
      <c r="J21" s="86"/>
      <c r="K21" s="96"/>
      <c r="L21" s="96">
        <f>244.6</f>
        <v>244.6</v>
      </c>
      <c r="M21" s="98"/>
      <c r="N21" s="83">
        <f>285+163</f>
        <v>448</v>
      </c>
      <c r="O21" s="98"/>
      <c r="P21" s="121">
        <f t="shared" si="1"/>
        <v>692.6</v>
      </c>
      <c r="Q21" s="121">
        <f t="shared" si="2"/>
        <v>0</v>
      </c>
      <c r="R21" s="121"/>
      <c r="S21" s="121"/>
      <c r="T21" s="121"/>
      <c r="U21" s="86">
        <v>420</v>
      </c>
      <c r="V21" s="121">
        <v>200</v>
      </c>
      <c r="W21" s="121"/>
      <c r="X21" s="121">
        <f t="shared" si="3"/>
        <v>200</v>
      </c>
      <c r="Y21" s="121">
        <f t="shared" si="4"/>
        <v>420</v>
      </c>
      <c r="Z21" s="121">
        <v>1665.1</v>
      </c>
      <c r="AA21" s="121"/>
      <c r="AB21" s="121">
        <v>21418.799999999999</v>
      </c>
      <c r="AC21" s="121"/>
      <c r="AD21" s="121">
        <v>9633</v>
      </c>
      <c r="AE21" s="121"/>
      <c r="AF21" s="121">
        <f t="shared" si="5"/>
        <v>32716.899999999998</v>
      </c>
      <c r="AG21" s="121">
        <f t="shared" si="6"/>
        <v>0</v>
      </c>
      <c r="AH21" s="121"/>
      <c r="AI21" s="121"/>
      <c r="AJ21" s="121"/>
      <c r="AK21" s="121"/>
      <c r="AL21" s="121">
        <v>2280</v>
      </c>
      <c r="AM21" s="121"/>
      <c r="AN21" s="121">
        <f t="shared" si="7"/>
        <v>2280</v>
      </c>
      <c r="AO21" s="121">
        <f t="shared" si="8"/>
        <v>0</v>
      </c>
      <c r="AP21" s="86" t="s">
        <v>433</v>
      </c>
    </row>
    <row r="22" spans="1:42" s="178" customFormat="1" ht="21" customHeight="1" x14ac:dyDescent="0.35">
      <c r="A22" s="26"/>
      <c r="B22" s="75" t="s">
        <v>13</v>
      </c>
      <c r="C22" s="175">
        <f>SUM(C17:C21)</f>
        <v>620430</v>
      </c>
      <c r="D22" s="175">
        <f>SUM(D17:D21)</f>
        <v>567495</v>
      </c>
      <c r="E22" s="175">
        <f>SUM(E17:E21)</f>
        <v>0</v>
      </c>
      <c r="F22" s="175">
        <f>SUM(F17:F21)</f>
        <v>52935</v>
      </c>
      <c r="G22" s="175">
        <f>SUM(G17:G21)</f>
        <v>0</v>
      </c>
      <c r="H22" s="26"/>
      <c r="I22" s="26"/>
      <c r="J22" s="176">
        <f>SUM(J17:J21)</f>
        <v>13910</v>
      </c>
      <c r="K22" s="176">
        <f t="shared" ref="K22:Q22" si="9">SUM(K17:K21)</f>
        <v>0</v>
      </c>
      <c r="L22" s="176">
        <f t="shared" si="9"/>
        <v>40589.599999999999</v>
      </c>
      <c r="M22" s="176">
        <f t="shared" si="9"/>
        <v>0</v>
      </c>
      <c r="N22" s="176">
        <f t="shared" si="9"/>
        <v>25027</v>
      </c>
      <c r="O22" s="176">
        <f t="shared" si="9"/>
        <v>0</v>
      </c>
      <c r="P22" s="177">
        <f t="shared" si="9"/>
        <v>79526.600000000006</v>
      </c>
      <c r="Q22" s="177">
        <f t="shared" si="9"/>
        <v>0</v>
      </c>
      <c r="R22" s="176">
        <f>SUM(R17:R21)</f>
        <v>36189</v>
      </c>
      <c r="S22" s="176">
        <f t="shared" ref="S22:W22" si="10">SUM(S17:S21)</f>
        <v>4650</v>
      </c>
      <c r="T22" s="176">
        <f t="shared" si="10"/>
        <v>32461.5</v>
      </c>
      <c r="U22" s="176">
        <f t="shared" si="10"/>
        <v>420</v>
      </c>
      <c r="V22" s="176">
        <f t="shared" si="10"/>
        <v>24661</v>
      </c>
      <c r="W22" s="176">
        <f t="shared" si="10"/>
        <v>0</v>
      </c>
      <c r="X22" s="177">
        <f>SUM(X17:X21)</f>
        <v>93311.5</v>
      </c>
      <c r="Y22" s="177">
        <f>SUM(Y17:Y21)</f>
        <v>5070</v>
      </c>
      <c r="Z22" s="177">
        <f>SUM(Z17:Z21)</f>
        <v>55522.619999999988</v>
      </c>
      <c r="AA22" s="177">
        <f t="shared" ref="AA22:AG22" si="11">SUM(AA17:AA21)</f>
        <v>0</v>
      </c>
      <c r="AB22" s="177">
        <f t="shared" si="11"/>
        <v>36893.050000000003</v>
      </c>
      <c r="AC22" s="177">
        <f t="shared" si="11"/>
        <v>0</v>
      </c>
      <c r="AD22" s="177">
        <f t="shared" si="11"/>
        <v>24815.619999999992</v>
      </c>
      <c r="AE22" s="177">
        <f t="shared" si="11"/>
        <v>0</v>
      </c>
      <c r="AF22" s="177">
        <f t="shared" si="11"/>
        <v>117231.28999999998</v>
      </c>
      <c r="AG22" s="177">
        <f t="shared" si="11"/>
        <v>0</v>
      </c>
      <c r="AH22" s="177">
        <f>SUM(AH17:AH21)</f>
        <v>43374.100000000006</v>
      </c>
      <c r="AI22" s="177">
        <f t="shared" ref="AI22:AO22" si="12">SUM(AI17:AI21)</f>
        <v>0</v>
      </c>
      <c r="AJ22" s="177">
        <f t="shared" si="12"/>
        <v>25919.379999999997</v>
      </c>
      <c r="AK22" s="177">
        <f t="shared" si="12"/>
        <v>12350</v>
      </c>
      <c r="AL22" s="177">
        <f t="shared" si="12"/>
        <v>61517</v>
      </c>
      <c r="AM22" s="177">
        <f t="shared" si="12"/>
        <v>0</v>
      </c>
      <c r="AN22" s="177">
        <f t="shared" si="12"/>
        <v>130810.48000000001</v>
      </c>
      <c r="AO22" s="177">
        <f t="shared" si="12"/>
        <v>12350</v>
      </c>
    </row>
    <row r="23" spans="1:42" x14ac:dyDescent="0.3">
      <c r="G23" s="18"/>
    </row>
  </sheetData>
  <mergeCells count="41">
    <mergeCell ref="AH14:AO14"/>
    <mergeCell ref="AH15:AI15"/>
    <mergeCell ref="AJ15:AK15"/>
    <mergeCell ref="AL15:AM15"/>
    <mergeCell ref="AN15:AO15"/>
    <mergeCell ref="AF15:AG15"/>
    <mergeCell ref="AP17:AP19"/>
    <mergeCell ref="J14:Q14"/>
    <mergeCell ref="AP14:AP16"/>
    <mergeCell ref="J15:K15"/>
    <mergeCell ref="L15:M15"/>
    <mergeCell ref="N15:O15"/>
    <mergeCell ref="P15:Q15"/>
    <mergeCell ref="R14:Y14"/>
    <mergeCell ref="R15:S15"/>
    <mergeCell ref="T15:U15"/>
    <mergeCell ref="V15:W15"/>
    <mergeCell ref="X15:Y15"/>
    <mergeCell ref="Z14:AG14"/>
    <mergeCell ref="Z15:AA15"/>
    <mergeCell ref="AB15:AC15"/>
    <mergeCell ref="AD15:AE15"/>
    <mergeCell ref="I14:I16"/>
    <mergeCell ref="A14:A16"/>
    <mergeCell ref="B14:B16"/>
    <mergeCell ref="C14:C16"/>
    <mergeCell ref="D14:G14"/>
    <mergeCell ref="H14:H16"/>
    <mergeCell ref="D15:D16"/>
    <mergeCell ref="E15:E16"/>
    <mergeCell ref="F15:F16"/>
    <mergeCell ref="G15:G16"/>
    <mergeCell ref="A8:G8"/>
    <mergeCell ref="B9:G9"/>
    <mergeCell ref="A11:I11"/>
    <mergeCell ref="A1:I1"/>
    <mergeCell ref="B2:I2"/>
    <mergeCell ref="B3:I3"/>
    <mergeCell ref="B5:I5"/>
    <mergeCell ref="A6:I6"/>
    <mergeCell ref="A7:H7"/>
  </mergeCells>
  <pageMargins left="0.31496062992125984" right="0.31496062992125984" top="0.74803149606299213" bottom="0.35433070866141736" header="0.31496062992125984" footer="0.31496062992125984"/>
  <pageSetup scale="6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პროგრამა-ფაკულტ</vt:lpstr>
      <vt:lpstr>ეკონ.და ბიზნ.ფაკულ</vt:lpstr>
      <vt:lpstr>საბუნ.მეცნ.და ჯანდაც.ფაკულტ</vt:lpstr>
      <vt:lpstr>ჰუმანიტ. მეცნ.ფაკულ</vt:lpstr>
      <vt:lpstr>ზუსტ მეცნ.და განათლ. ფაკულ </vt:lpstr>
      <vt:lpstr>იურიდ.და სოც.მეცნ.ფაკულტ</vt:lpstr>
      <vt:lpstr>ტურიზმის ფაკულტეტი</vt:lpstr>
      <vt:lpstr>ტექნოლოგიური ფაკულტ</vt:lpstr>
      <vt:lpstr>პროფესიული</vt:lpstr>
      <vt:lpstr>ფიტოპათ </vt:lpstr>
      <vt:lpstr>აგრარული და მემბრ</vt:lpstr>
      <vt:lpstr>ნიკო ბერძ</vt:lpstr>
      <vt:lpstr>შიდა საუნივერს.გრანტ</vt:lpstr>
      <vt:lpstr>'აგრარული და მემბრ'!Print_Area</vt:lpstr>
      <vt:lpstr>'ეკონ.და ბიზნ.ფაკულ'!Print_Area</vt:lpstr>
      <vt:lpstr>'ზუსტ მეცნ.და განათლ. ფაკულ '!Print_Area</vt:lpstr>
      <vt:lpstr>'იურიდ.და სოც.მეცნ.ფაკულტ'!Print_Area</vt:lpstr>
      <vt:lpstr>'ნიკო ბერძ'!Print_Area</vt:lpstr>
      <vt:lpstr>'საბუნ.მეცნ.და ჯანდაც.ფაკულტ'!Print_Area</vt:lpstr>
      <vt:lpstr>'ტექნოლოგიური ფაკულტ'!Print_Area</vt:lpstr>
      <vt:lpstr>'ტურიზმის ფაკულტეტი'!Print_Area</vt:lpstr>
      <vt:lpstr>'ფიტოპათ '!Print_Area</vt:lpstr>
      <vt:lpstr>'ჰუმანიტ. მეცნ.ფაკულ'!Print_Area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BSU</dc:creator>
  <cp:lastModifiedBy>BSU</cp:lastModifiedBy>
  <cp:lastPrinted>2023-10-10T07:33:53Z</cp:lastPrinted>
  <dcterms:created xsi:type="dcterms:W3CDTF">2015-06-05T18:17:20Z</dcterms:created>
  <dcterms:modified xsi:type="dcterms:W3CDTF">2024-03-26T11:00:52Z</dcterms:modified>
</cp:coreProperties>
</file>